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c-home-dlci\documenti_private\DC_Servizi_civili_immigrazione_asilo\CENTRI\2. CENTRI\CAPITOLATO D'APPALTO\REV DEF CAPITOLATO 2023 - 18.12.23\PER CIRCOLARE E PUBBLICAZIONE\"/>
    </mc:Choice>
  </mc:AlternateContent>
  <bookViews>
    <workbookView xWindow="0" yWindow="0" windowWidth="20460" windowHeight="7620" activeTab="2"/>
  </bookViews>
  <sheets>
    <sheet name="hotspot" sheetId="1" r:id="rId1"/>
    <sheet name="hub" sheetId="7" r:id="rId2"/>
    <sheet name="cpr" sheetId="2" r:id="rId3"/>
    <sheet name="centri collettivi lotti separat" sheetId="3" r:id="rId4"/>
    <sheet name="Centri coll lotto unico" sheetId="5" r:id="rId5"/>
    <sheet name="Unità abitative" sheetId="6" r:id="rId6"/>
    <sheet name="Unità abitative (2)" sheetId="8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5" l="1"/>
  <c r="G8" i="5"/>
  <c r="H8" i="5"/>
  <c r="H16" i="5" s="1"/>
  <c r="F9" i="5"/>
  <c r="G9" i="5"/>
  <c r="H9" i="5"/>
  <c r="F10" i="5"/>
  <c r="F16" i="5" s="1"/>
  <c r="F27" i="5" s="1"/>
  <c r="G10" i="5"/>
  <c r="H10" i="5"/>
  <c r="F12" i="5"/>
  <c r="G12" i="5"/>
  <c r="H12" i="5"/>
  <c r="F13" i="5"/>
  <c r="G13" i="5"/>
  <c r="H13" i="5"/>
  <c r="F15" i="5"/>
  <c r="G15" i="5"/>
  <c r="H15" i="5"/>
  <c r="C16" i="5"/>
  <c r="D16" i="5"/>
  <c r="E16" i="5"/>
  <c r="G16" i="5"/>
  <c r="C18" i="5"/>
  <c r="F18" i="5" s="1"/>
  <c r="D18" i="5"/>
  <c r="D27" i="5" s="1"/>
  <c r="E18" i="5"/>
  <c r="E27" i="5" s="1"/>
  <c r="C19" i="5"/>
  <c r="D19" i="5"/>
  <c r="E19" i="5"/>
  <c r="F19" i="5"/>
  <c r="G19" i="5"/>
  <c r="H19" i="5"/>
  <c r="F21" i="5"/>
  <c r="G21" i="5"/>
  <c r="H21" i="5"/>
  <c r="F25" i="5"/>
  <c r="G25" i="5"/>
  <c r="H25" i="5"/>
  <c r="C27" i="5"/>
  <c r="C15" i="1"/>
  <c r="D15" i="1"/>
  <c r="E15" i="1"/>
  <c r="E23" i="1" s="1"/>
  <c r="F15" i="1"/>
  <c r="C18" i="1"/>
  <c r="D18" i="1"/>
  <c r="E18" i="1"/>
  <c r="F18" i="1"/>
  <c r="C23" i="1"/>
  <c r="D23" i="1"/>
  <c r="F23" i="1"/>
  <c r="H18" i="5" l="1"/>
  <c r="H27" i="5" s="1"/>
  <c r="G18" i="5"/>
  <c r="G27" i="5" s="1"/>
  <c r="C16" i="6"/>
  <c r="D16" i="6" l="1"/>
  <c r="J20" i="1" l="1"/>
  <c r="I20" i="1"/>
  <c r="H20" i="1"/>
  <c r="G20" i="1"/>
  <c r="J11" i="1"/>
  <c r="I11" i="1"/>
  <c r="H11" i="1"/>
  <c r="G11" i="1"/>
  <c r="J14" i="1"/>
  <c r="I14" i="1"/>
  <c r="H14" i="1"/>
  <c r="G14" i="1"/>
  <c r="J12" i="1"/>
  <c r="I12" i="1"/>
  <c r="H12" i="1"/>
  <c r="G12" i="1"/>
  <c r="J9" i="1"/>
  <c r="I9" i="1"/>
  <c r="H9" i="1"/>
  <c r="G9" i="1"/>
  <c r="J8" i="1"/>
  <c r="I8" i="1"/>
  <c r="H8" i="1"/>
  <c r="G8" i="1"/>
  <c r="G15" i="1" s="1"/>
  <c r="F12" i="7"/>
  <c r="E12" i="7"/>
  <c r="D12" i="7"/>
  <c r="C12" i="7"/>
  <c r="F18" i="7"/>
  <c r="E18" i="7"/>
  <c r="D18" i="7"/>
  <c r="C18" i="7"/>
  <c r="F8" i="7"/>
  <c r="E8" i="7"/>
  <c r="D8" i="7"/>
  <c r="C8" i="7"/>
  <c r="G14" i="2"/>
  <c r="F14" i="2"/>
  <c r="E14" i="2"/>
  <c r="G11" i="2"/>
  <c r="F11" i="2"/>
  <c r="E11" i="2"/>
  <c r="G12" i="2"/>
  <c r="F12" i="2"/>
  <c r="E12" i="2"/>
  <c r="G9" i="2"/>
  <c r="F9" i="2"/>
  <c r="E9" i="2"/>
  <c r="G8" i="2"/>
  <c r="F8" i="2"/>
  <c r="E8" i="2"/>
  <c r="G7" i="2"/>
  <c r="F7" i="2"/>
  <c r="E7" i="2"/>
  <c r="G24" i="3"/>
  <c r="F24" i="3"/>
  <c r="G25" i="3"/>
  <c r="F25" i="3"/>
  <c r="G17" i="3"/>
  <c r="F17" i="3"/>
  <c r="G11" i="3"/>
  <c r="F11" i="3"/>
  <c r="G9" i="3"/>
  <c r="F9" i="3"/>
  <c r="J9" i="8"/>
  <c r="D29" i="8"/>
  <c r="E29" i="8" s="1"/>
  <c r="J27" i="8"/>
  <c r="J26" i="8"/>
  <c r="E26" i="8"/>
  <c r="J22" i="8"/>
  <c r="E22" i="8"/>
  <c r="J21" i="8"/>
  <c r="E21" i="8"/>
  <c r="D20" i="8"/>
  <c r="J20" i="8" s="1"/>
  <c r="C20" i="8"/>
  <c r="D19" i="8"/>
  <c r="E19" i="8" s="1"/>
  <c r="C19" i="8"/>
  <c r="J19" i="8" s="1"/>
  <c r="D17" i="8"/>
  <c r="E17" i="8" s="1"/>
  <c r="C17" i="8"/>
  <c r="C29" i="8" s="1"/>
  <c r="J16" i="8"/>
  <c r="E16" i="8"/>
  <c r="J14" i="8"/>
  <c r="E14" i="8"/>
  <c r="J13" i="8"/>
  <c r="E13" i="8"/>
  <c r="J12" i="8"/>
  <c r="E12" i="8"/>
  <c r="J10" i="8"/>
  <c r="E10" i="8"/>
  <c r="E9" i="8"/>
  <c r="J8" i="8"/>
  <c r="E8" i="8"/>
  <c r="F8" i="8" s="1"/>
  <c r="G8" i="8" s="1"/>
  <c r="H8" i="8" s="1"/>
  <c r="D8" i="8"/>
  <c r="E20" i="8" l="1"/>
  <c r="J20" i="6"/>
  <c r="J19" i="6"/>
  <c r="J9" i="6"/>
  <c r="J7" i="6"/>
  <c r="J26" i="6"/>
  <c r="J25" i="6"/>
  <c r="E25" i="6"/>
  <c r="J21" i="6"/>
  <c r="J15" i="6"/>
  <c r="J13" i="6"/>
  <c r="J12" i="6"/>
  <c r="J8" i="6"/>
  <c r="J11" i="6"/>
  <c r="E21" i="6"/>
  <c r="E20" i="6"/>
  <c r="E15" i="6"/>
  <c r="E13" i="6"/>
  <c r="E12" i="6"/>
  <c r="E11" i="6"/>
  <c r="E9" i="6"/>
  <c r="E8" i="6"/>
  <c r="E7" i="6"/>
  <c r="F7" i="6" s="1"/>
  <c r="G7" i="6" s="1"/>
  <c r="H7" i="6" s="1"/>
  <c r="C19" i="6" l="1"/>
  <c r="E19" i="6" s="1"/>
  <c r="G18" i="2"/>
  <c r="F18" i="2"/>
  <c r="E18" i="2"/>
  <c r="F19" i="7" l="1"/>
  <c r="E19" i="7"/>
  <c r="D19" i="7"/>
  <c r="C19" i="7"/>
  <c r="F16" i="7"/>
  <c r="F24" i="7" s="1"/>
  <c r="E16" i="7"/>
  <c r="E24" i="7" s="1"/>
  <c r="D16" i="7"/>
  <c r="D24" i="7" s="1"/>
  <c r="C16" i="7"/>
  <c r="C24" i="7" s="1"/>
  <c r="F15" i="2"/>
  <c r="F22" i="2" s="1"/>
  <c r="C18" i="6" l="1"/>
  <c r="E16" i="6"/>
  <c r="G15" i="3"/>
  <c r="F15" i="3"/>
  <c r="E15" i="3"/>
  <c r="D15" i="3"/>
  <c r="E14" i="3"/>
  <c r="G14" i="3" s="1"/>
  <c r="D14" i="3"/>
  <c r="F14" i="3" s="1"/>
  <c r="G12" i="3"/>
  <c r="G20" i="3" s="1"/>
  <c r="G30" i="3" s="1"/>
  <c r="F12" i="3"/>
  <c r="E12" i="3"/>
  <c r="D12" i="3"/>
  <c r="D20" i="3" s="1"/>
  <c r="D30" i="3" s="1"/>
  <c r="D17" i="2"/>
  <c r="C17" i="2"/>
  <c r="G15" i="2"/>
  <c r="E15" i="2"/>
  <c r="D15" i="2"/>
  <c r="D22" i="2" s="1"/>
  <c r="C15" i="2"/>
  <c r="C22" i="2" s="1"/>
  <c r="J18" i="1"/>
  <c r="I18" i="1"/>
  <c r="H18" i="1"/>
  <c r="G18" i="1"/>
  <c r="J15" i="1"/>
  <c r="I15" i="1"/>
  <c r="I23" i="1" s="1"/>
  <c r="H15" i="1"/>
  <c r="E20" i="3" l="1"/>
  <c r="E30" i="3" s="1"/>
  <c r="C28" i="6"/>
  <c r="J18" i="6"/>
  <c r="E18" i="6"/>
  <c r="F20" i="3"/>
  <c r="F30" i="3" s="1"/>
  <c r="G23" i="1"/>
  <c r="D27" i="6"/>
  <c r="E22" i="2"/>
  <c r="J23" i="1"/>
  <c r="H23" i="1"/>
  <c r="G22" i="2"/>
  <c r="E28" i="6" l="1"/>
</calcChain>
</file>

<file path=xl/comments1.xml><?xml version="1.0" encoding="utf-8"?>
<comments xmlns="http://schemas.openxmlformats.org/spreadsheetml/2006/main">
  <authors>
    <author>Gabriele Giugliano</author>
  </authors>
  <commentList>
    <comment ref="C25" authorId="0" shapeId="0">
      <text>
        <r>
          <rPr>
            <b/>
            <sz val="9"/>
            <color indexed="81"/>
            <rFont val="Tahoma"/>
            <family val="2"/>
          </rPr>
          <t>Gabriele Giugliano:</t>
        </r>
        <r>
          <rPr>
            <sz val="9"/>
            <color indexed="81"/>
            <rFont val="Tahoma"/>
            <family val="2"/>
          </rPr>
          <t xml:space="preserve">
(di cui 1,37 per farmaci e prestazioni sanitarie (500 anno /365 gg) +0,43 per il resto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</rPr>
          <t>Gabriele Giugliano:</t>
        </r>
        <r>
          <rPr>
            <sz val="9"/>
            <color indexed="81"/>
            <rFont val="Tahoma"/>
            <family val="2"/>
          </rPr>
          <t xml:space="preserve">
=0,43 + 14,67% = </t>
        </r>
      </text>
    </comment>
  </commentList>
</comments>
</file>

<file path=xl/comments2.xml><?xml version="1.0" encoding="utf-8"?>
<comments xmlns="http://schemas.openxmlformats.org/spreadsheetml/2006/main">
  <authors>
    <author>Gabriele Giugliano</author>
  </authors>
  <commentList>
    <comment ref="C26" authorId="0" shapeId="0">
      <text>
        <r>
          <rPr>
            <b/>
            <sz val="9"/>
            <color indexed="81"/>
            <rFont val="Tahoma"/>
            <family val="2"/>
          </rPr>
          <t>Gabriele Giugliano:</t>
        </r>
        <r>
          <rPr>
            <sz val="9"/>
            <color indexed="81"/>
            <rFont val="Tahoma"/>
            <family val="2"/>
          </rPr>
          <t xml:space="preserve">
(di cui 1,37 per farmaci e prestazioni sanitarie (500 anno /365 gg) +0,43 per il resto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</rPr>
          <t>Gabriele Giugliano:</t>
        </r>
        <r>
          <rPr>
            <sz val="9"/>
            <color indexed="81"/>
            <rFont val="Tahoma"/>
            <family val="2"/>
          </rPr>
          <t xml:space="preserve">
=0,43 + 14,67% = </t>
        </r>
      </text>
    </comment>
  </commentList>
</comments>
</file>

<file path=xl/sharedStrings.xml><?xml version="1.0" encoding="utf-8"?>
<sst xmlns="http://schemas.openxmlformats.org/spreadsheetml/2006/main" count="219" uniqueCount="105">
  <si>
    <t>STRUTTURE DI CUI ALL'ART. 10-TER DEL D.LGS. 286/98 - LOTTO UNICO</t>
  </si>
  <si>
    <t xml:space="preserve">STIMA DEI COSTI MEDI DI RIFERIMENTO </t>
  </si>
  <si>
    <t>(VARIAZIONI  MARZO 2023 IN GIALLO)</t>
  </si>
  <si>
    <t>CAPIENZA</t>
  </si>
  <si>
    <t xml:space="preserve"> FINO A 100 POSTI </t>
  </si>
  <si>
    <t xml:space="preserve"> DA 101 A 150 POSTI </t>
  </si>
  <si>
    <t xml:space="preserve"> DA 151 A 300 POSTI </t>
  </si>
  <si>
    <t xml:space="preserve"> DA 301 A 600 POSTI </t>
  </si>
  <si>
    <t xml:space="preserve">SERVIZIO DI GESTIONE DI CENTRI DI ACCOGLIENZA </t>
  </si>
  <si>
    <t>PERSONALE</t>
  </si>
  <si>
    <t>SERVIZIO DI PREPARAZIONE E/O FORNITURA DEI PASTI</t>
  </si>
  <si>
    <t>SERVIZIO DI LAVANDERIA</t>
  </si>
  <si>
    <t>SERVIZIO DI PULIZIA E IGIENE AMBIENTALE E TARI</t>
  </si>
  <si>
    <t>SERVIZIO DI TRASPORTO</t>
  </si>
  <si>
    <t>FORNITURA TRASPORTO E CONSEGNA DEI BENI</t>
  </si>
  <si>
    <t>EFFETTI LETTERECCI E PRODOTTI PER IGIENE PERSONALE</t>
  </si>
  <si>
    <t>TOTALE</t>
  </si>
  <si>
    <t>PRESTAZIONI AGGIUNTIVE OGGETTO DI SEPARATA RENDICONTAZIONE</t>
  </si>
  <si>
    <t>KIT DI PRIMO INGRESSO PER SINGOLO MIGRANTE*</t>
  </si>
  <si>
    <t>SCHEDA TELEFONICA UNA TANTUM ALL'INGRESSO**</t>
  </si>
  <si>
    <t>POCKET MONEY</t>
  </si>
  <si>
    <t>PANNOLINI PER NEONATI (fino a 30 mesi)</t>
  </si>
  <si>
    <t>TOTALE MASSIMO GIORNALIERO</t>
  </si>
  <si>
    <t>STRUTTURE DI CUI ALL'ART. 14 DEL D.LGS. 286/98 - LOTTO UNICO</t>
  </si>
  <si>
    <t xml:space="preserve"> FINO A 150 POSTI </t>
  </si>
  <si>
    <t>SERVIZIO DI CURA E IGIENE DEI CAPELLI E BARBA</t>
  </si>
  <si>
    <t>STRUTTURE DI CUI ALL'ART. 1 COMMA 2 LETTERA B) - LOTTI PRESTAZIONALI</t>
  </si>
  <si>
    <t>STIMA DEI COSTI MEDI DI RIFERIMENTO</t>
  </si>
  <si>
    <t>DA 301 A 600 POSTI</t>
  </si>
  <si>
    <t>DA 601 A 900 POSTI</t>
  </si>
  <si>
    <t>LOTTO 1</t>
  </si>
  <si>
    <t xml:space="preserve">EFFETTI LETTERECCI E PRODOTTI PER IGIENE PERSONALE </t>
  </si>
  <si>
    <t>TOTALE LOTTO 1</t>
  </si>
  <si>
    <t xml:space="preserve">MATERIALE DIDATTICO, TRASPORTO SCOLASTICO, MATERIALE LUDICO </t>
  </si>
  <si>
    <t>LOTTO 2</t>
  </si>
  <si>
    <t>LOTTO 3</t>
  </si>
  <si>
    <t>PREZZO MEDIO A METRO QUADRO</t>
  </si>
  <si>
    <t>TOTALE MASSIMO GIORNALIERO PER I SERVIZI PRESTAZIONALI DEI 3 LOTTI</t>
  </si>
  <si>
    <t>STRUTTURE DI CUI ALL'ART. 1 COMMA 2 LETTERA B) - LOTTO UNICO</t>
  </si>
  <si>
    <t xml:space="preserve">  </t>
  </si>
  <si>
    <t xml:space="preserve">50 POSTI </t>
  </si>
  <si>
    <t xml:space="preserve">DA 101 A 300 POSTI </t>
  </si>
  <si>
    <t>50 POSTI</t>
  </si>
  <si>
    <t>COSTO STRUTTURA (AFFITTO O AFFITTO FIGURATIVO, UTENZE)</t>
  </si>
  <si>
    <t>KIT DI PRIMO INGRESSO PER SINGOLO MIGRANTE**</t>
  </si>
  <si>
    <t>SCHEDA TELEFONICA UNA TANTUM ALL'INGRESSO***</t>
  </si>
  <si>
    <t>-</t>
  </si>
  <si>
    <t>MATERIALE DIDATTICO, TRASPORTO SCOLASTICO, MATERIALE LUDICO</t>
  </si>
  <si>
    <t>* COSTO DA NON CONSIDERARE NELL'IPOTESI DI UTILIZZO DI IMMOBILI MESSI A DISPOSIZIONE DALL'AMMINISTRAZIONE</t>
  </si>
  <si>
    <t>DA 51 A 100 POSTI</t>
  </si>
  <si>
    <t>DA 101 A 300 POSTI</t>
  </si>
  <si>
    <t>STRUTTURE DI CUI ALL'ART. 1 COMMA 2 LETTERA A)</t>
  </si>
  <si>
    <t>CAPIENZA 50 POSTI</t>
  </si>
  <si>
    <t>DERRATE</t>
  </si>
  <si>
    <t>FORNITURA DI BENI MONOUSO</t>
  </si>
  <si>
    <t xml:space="preserve">FORNITURA UTENSILI COTTURA </t>
  </si>
  <si>
    <t>FORNITURA DI ATTREZZATURE PER LE PULIZIE, PRODOTTI PER LE PULIZIE DELLE STOVIGLIE, LAVAGGIO INDUMENTI E PULIZIE E IGIENE AMBIENTALE</t>
  </si>
  <si>
    <t xml:space="preserve"> FINO A 50 POSTI </t>
  </si>
  <si>
    <t>DA 51 A 150</t>
  </si>
  <si>
    <t>STRUTTURE DI CUI ALL'ART. 11  COMMA 2 BIS DEL D.LGS. 142/2015 - LOTTO UNICO</t>
  </si>
  <si>
    <t>SERVIZI DI ACCOGLIENZA</t>
  </si>
  <si>
    <t xml:space="preserve">SERVIZIO DI PULIZIA </t>
  </si>
  <si>
    <t>SERVIZIO DI ACCOGLIENZA CON STRUTTURE MESSE A DISPOSIZIONE DALL'ENTE GESTORE</t>
  </si>
  <si>
    <t>SERVIZIO DI PULIZIA</t>
  </si>
  <si>
    <t>LAVANDERIA</t>
  </si>
  <si>
    <t>FARMACI E PRESTAZIONI SANITARIE NON COPERTE DAL SSN NEL LIMITE DI 500 EURO ANNO PER CIASCUN POSTO DI ACCOGLIENZA ED INDIPENDENTEMNTE DAL RELATIVO TURNOVER</t>
  </si>
  <si>
    <t>FARMACI E PRESTAZIONI SANITARIE NON COPERTE DAL SSN NEL LIMITE DI 500 EURO ANNO PER CIASCUN POSTO DI ACCOGLIENZA E INDIPENDENTEMENTE DAL RELATIVO TURNOVER</t>
  </si>
  <si>
    <t xml:space="preserve"> STOVIGLIE MONOUSO BIDEGRADABILI E COMPOSTABILI</t>
  </si>
  <si>
    <t>FARMACI E PRESTAZIONI SANITARIE NON COPERTE DAL SSN NEL LIMITE DI 500 EURO ANNO PER CIASCUN POSTO ED INDIPENDENTEMENTE DAL RELATIVO TURNOVER</t>
  </si>
  <si>
    <r>
      <t>** IL COSTO DELLA SCHEDA TELEFONICA è PARI A</t>
    </r>
    <r>
      <rPr>
        <b/>
        <sz val="9"/>
        <color rgb="FF000000"/>
        <rFont val="Calibri"/>
        <family val="2"/>
        <scheme val="minor"/>
      </rPr>
      <t xml:space="preserve"> 5,00 </t>
    </r>
    <r>
      <rPr>
        <sz val="9"/>
        <color rgb="FF000000"/>
        <rFont val="Calibri"/>
        <family val="2"/>
        <scheme val="minor"/>
      </rPr>
      <t xml:space="preserve">EURO. IL COSTO PRO-DIE/PRO-CAPITE, CONSIDERANDO UN TURNOVER ALL'ANNO, AMMONTA A EURO </t>
    </r>
    <r>
      <rPr>
        <b/>
        <sz val="9"/>
        <color rgb="FF000000"/>
        <rFont val="Calibri"/>
        <family val="2"/>
        <scheme val="minor"/>
      </rPr>
      <t>0,027</t>
    </r>
  </si>
  <si>
    <t>stoviglie monouso biodegradabili e compostabili</t>
  </si>
  <si>
    <t xml:space="preserve"> stoviglie monouso biodegradabili e compostabili </t>
  </si>
  <si>
    <t>FARMACI E PRESTAZIONI SANITARIE NON COPERTE DAL SSN NEL LIMITE DI 500 EURO ANNO PER OGNI POSTO DI ACCOGLIENZA ED INDIPENDENTEMENTE DAL RELATIVO TURNOVER</t>
  </si>
  <si>
    <t>FARMACI E PRESTAZIONI SANITARIE NON COPERTE DAL SSN NEL LIMITE DI 500 EURO ANNO PER CIASCUN POSTO DI ACCOGLIENZA ED INDIPENDENTEMENTE DAL RELATIVO TURNOVER</t>
  </si>
  <si>
    <t>***IL COSTO DELLA SCHEDA TELEFONICA UNA TANTUM è PARI A 5,00 EURO. IL COSTO PRO-DIE/PRO-CAPITE, CONSIDERANDO UN TURNOVER ALL'ANNO, AMMONTA A EURO 0,027</t>
  </si>
  <si>
    <t>SERVIZIO DI FORNITURA DERRATE ALIMENTARI E RELATIVI UTENSILI</t>
  </si>
  <si>
    <t>FARMACI E PRESTAZIONI SANITARIE NON COPERTE DAL SSN NEL LIMITE DI 500 EURO ANNO PER CIASCUN POSTO DI ACCOGLIENZA ED INDIPENDENTMENTE DAL RELATIVO TURNOVER</t>
  </si>
  <si>
    <t>*IL COSTO DEL KIT DI PRIMO INGRESSO PER SINGOLO MIGRANTE è DI 172 EURO. IL COSTO PRO-DIE/PRO-CAPITE è DI 1,88 EURO, CONSIDERANDO UN SECONDO KIT DA 172 EURO AL CAMBIO DI STAGIONE ED UN TURNOVER ALL'ANNO (344 X 2 / 365 GG)</t>
  </si>
  <si>
    <t>** IL COSTO DELLA SCHEDA TELEFONICA UNA TANTUM è PARI A 5,00 EURO. IL COSTO PRO-DIE/PRO-CAPITE, CONSIDERANDO UN TURNOVER ALL'ANNO, AMMONTA A EURO 0,027</t>
  </si>
  <si>
    <t>INTERVENTO A CHIAMATA OPERATORE NOTTURNO (ipotizzando max 8 ore intervento pro-die)***</t>
  </si>
  <si>
    <r>
      <t xml:space="preserve">*** IL COSTO PRO-DIE/PROCAPITE DELL’INTEREVENTO A CHIAMATA DELL’OPERATORE NOTTURNO È DI € 3,82 IN CASO DI INTEREVENTO IN GIORNI </t>
    </r>
    <r>
      <rPr>
        <b/>
        <i/>
        <sz val="9"/>
        <color rgb="FFFF0000"/>
        <rFont val="Calibri"/>
        <family val="2"/>
        <scheme val="minor"/>
      </rPr>
      <t>NON FESTIVI.</t>
    </r>
    <r>
      <rPr>
        <i/>
        <sz val="9"/>
        <color rgb="FFFF0000"/>
        <rFont val="Calibri"/>
        <family val="2"/>
        <scheme val="minor"/>
      </rPr>
      <t xml:space="preserve"> IN CASO DI INTERVENTO DELL’OPERATORE NOTURNO NEI GIORNI </t>
    </r>
    <r>
      <rPr>
        <b/>
        <i/>
        <sz val="9"/>
        <color rgb="FFFF0000"/>
        <rFont val="Calibri"/>
        <family val="2"/>
        <scheme val="minor"/>
      </rPr>
      <t>FESTIVI</t>
    </r>
    <r>
      <rPr>
        <i/>
        <sz val="9"/>
        <color rgb="FFFF0000"/>
        <rFont val="Calibri"/>
        <family val="2"/>
        <scheme val="minor"/>
      </rPr>
      <t xml:space="preserve"> IL PREDETTO COSTO PRO-DIE/PRO-CAPITE AMMONTA AD EURO </t>
    </r>
    <r>
      <rPr>
        <b/>
        <i/>
        <sz val="9"/>
        <color rgb="FFFF0000"/>
        <rFont val="Calibri"/>
        <family val="2"/>
        <scheme val="minor"/>
      </rPr>
      <t>4,41 ED IL COSTO TOTALE MASSIMO GIORNALIERO SARÀ, PERTANTO MAGGIORE DI QUELLO RIPORTATO NELLA TABELLA. CIÒ IN APPLICAZIONE DEGLI ARTICOLI 53 E 58  DEL CCNL DI SETTORE RICHIAMATO DALLO SCHEMA DI CAPITOLATO.</t>
    </r>
  </si>
  <si>
    <r>
      <t xml:space="preserve">INTERVENTO A CHIAMATA MEDICO PER </t>
    </r>
    <r>
      <rPr>
        <b/>
        <i/>
        <sz val="10"/>
        <color rgb="FFFF0000"/>
        <rFont val="Calibri"/>
        <family val="2"/>
        <scheme val="minor"/>
      </rPr>
      <t>VISITE PRIMO INGRESSO E PRIMO SOCCORSO</t>
    </r>
    <r>
      <rPr>
        <i/>
        <sz val="10"/>
        <color rgb="FFFF0000"/>
        <rFont val="Calibri"/>
        <family val="2"/>
        <scheme val="minor"/>
      </rPr>
      <t xml:space="preserve">  (ipotizzando </t>
    </r>
    <r>
      <rPr>
        <b/>
        <i/>
        <sz val="10"/>
        <color rgb="FFFF0000"/>
        <rFont val="Calibri"/>
        <family val="2"/>
        <scheme val="minor"/>
      </rPr>
      <t>max 4 ore all’anno pro-capite</t>
    </r>
    <r>
      <rPr>
        <i/>
        <sz val="10"/>
        <color rgb="FFFF0000"/>
        <rFont val="Calibri"/>
        <family val="2"/>
        <scheme val="minor"/>
      </rPr>
      <t xml:space="preserve">)****                          </t>
    </r>
  </si>
  <si>
    <r>
      <t>INTERVENTO A</t>
    </r>
    <r>
      <rPr>
        <b/>
        <i/>
        <sz val="10"/>
        <color rgb="FFFF0000"/>
        <rFont val="Calibri"/>
        <family val="2"/>
        <scheme val="minor"/>
      </rPr>
      <t xml:space="preserve"> CHIAMATA MEDICO IN REPERIBILITA'</t>
    </r>
    <r>
      <rPr>
        <b/>
        <sz val="10"/>
        <color rgb="FFFF0000"/>
        <rFont val="Calibri"/>
        <family val="2"/>
        <scheme val="minor"/>
      </rPr>
      <t xml:space="preserve"> </t>
    </r>
    <r>
      <rPr>
        <i/>
        <sz val="10"/>
        <color rgb="FFFF0000"/>
        <rFont val="Calibri"/>
        <family val="2"/>
        <scheme val="minor"/>
      </rPr>
      <t xml:space="preserve">(ipotizzando </t>
    </r>
    <r>
      <rPr>
        <b/>
        <i/>
        <sz val="10"/>
        <color rgb="FFFF0000"/>
        <rFont val="Calibri"/>
        <family val="2"/>
        <scheme val="minor"/>
      </rPr>
      <t>max 4 ore di intervento pro-die</t>
    </r>
    <r>
      <rPr>
        <i/>
        <sz val="10"/>
        <color rgb="FFFF0000"/>
        <rFont val="Calibri"/>
        <family val="2"/>
        <scheme val="minor"/>
      </rPr>
      <t>)*****</t>
    </r>
  </si>
  <si>
    <r>
      <t xml:space="preserve">***** IL COSTO PRO-DIE/PRO-CAPITE DELL'INTERVENTO A CHIAMATA DEL MEDICO IN REPERIBILITA' E' DI EURO </t>
    </r>
    <r>
      <rPr>
        <b/>
        <i/>
        <sz val="9"/>
        <color rgb="FFFF0000"/>
        <rFont val="Calibri"/>
        <family val="2"/>
        <scheme val="minor"/>
      </rPr>
      <t xml:space="preserve">2,80 </t>
    </r>
    <r>
      <rPr>
        <i/>
        <sz val="9"/>
        <color rgb="FFFF0000"/>
        <rFont val="Calibri"/>
        <family val="2"/>
        <scheme val="minor"/>
      </rPr>
      <t>IN CASO DI INTERVENTO IN ORARIO</t>
    </r>
    <r>
      <rPr>
        <b/>
        <i/>
        <sz val="9"/>
        <color rgb="FFFF0000"/>
        <rFont val="Calibri"/>
        <family val="2"/>
        <scheme val="minor"/>
      </rPr>
      <t xml:space="preserve"> DIURNO NON FESTIVO.  </t>
    </r>
    <r>
      <rPr>
        <i/>
        <sz val="9"/>
        <color rgb="FFFF0000"/>
        <rFont val="Calibri"/>
        <family val="2"/>
        <scheme val="minor"/>
      </rPr>
      <t xml:space="preserve">IL MEDESIMO COSTO PD/PC AMMONTA, INVECE, A: </t>
    </r>
    <r>
      <rPr>
        <b/>
        <i/>
        <sz val="9"/>
        <color rgb="FFFF0000"/>
        <rFont val="Calibri"/>
        <family val="2"/>
        <scheme val="minor"/>
      </rPr>
      <t xml:space="preserve">EURO 3,18 </t>
    </r>
    <r>
      <rPr>
        <i/>
        <sz val="9"/>
        <color rgb="FFFF0000"/>
        <rFont val="Calibri"/>
        <family val="2"/>
        <scheme val="minor"/>
      </rPr>
      <t xml:space="preserve">IN CASO DI INTERVENTO IN ORARIO </t>
    </r>
    <r>
      <rPr>
        <b/>
        <i/>
        <sz val="9"/>
        <color rgb="FFFF0000"/>
        <rFont val="Calibri"/>
        <family val="2"/>
        <scheme val="minor"/>
      </rPr>
      <t xml:space="preserve">NOTTURNO NON FESTIVO; EURO 3,18 </t>
    </r>
    <r>
      <rPr>
        <i/>
        <sz val="9"/>
        <color rgb="FFFF0000"/>
        <rFont val="Calibri"/>
        <family val="2"/>
        <scheme val="minor"/>
      </rPr>
      <t xml:space="preserve">IN CASO DI INTERVENTO IN </t>
    </r>
    <r>
      <rPr>
        <b/>
        <i/>
        <sz val="9"/>
        <color rgb="FFFF0000"/>
        <rFont val="Calibri"/>
        <family val="2"/>
        <scheme val="minor"/>
      </rPr>
      <t>ORARIO FESTIVO DIURNO; EURO 3,66</t>
    </r>
    <r>
      <rPr>
        <i/>
        <sz val="9"/>
        <color rgb="FFFF0000"/>
        <rFont val="Calibri"/>
        <family val="2"/>
        <scheme val="minor"/>
      </rPr>
      <t xml:space="preserve"> IN CASO DI INTERVENTO IN ORARIO </t>
    </r>
    <r>
      <rPr>
        <b/>
        <i/>
        <sz val="9"/>
        <color rgb="FFFF0000"/>
        <rFont val="Calibri"/>
        <family val="2"/>
        <scheme val="minor"/>
      </rPr>
      <t>FESTIVO NOTTURNO. IN QUESTI ULTIMI 3 CASI IL COSTO TOT MASSIMO GIORNALIERO SARA' PERTANTO MAGGIORE DI QUELLO RIPORTATO IN TABELLA. CIO' IN APPLICAZIONE DEGLI ART. 53 E 58 DEL CCNL DI SETTORE RICHIAMATO DALLO SCHEMA DI CAPITOLATO</t>
    </r>
  </si>
  <si>
    <t>COSTO STRUTTURA (AFFITTO O AFFITTO FIGURATIVO, UTENZE)*</t>
  </si>
  <si>
    <r>
      <t xml:space="preserve">**** IL COSTO PRO-DIE/PRO-CAPITE DELL'INTERVENTO A CHIAMATA DEL MEDICO IN REPERIBILITA', PER VISITE DI PRIMO INGRESSO E PRIMO SOCCORSO,  E' DI EURO </t>
    </r>
    <r>
      <rPr>
        <b/>
        <i/>
        <sz val="9"/>
        <color rgb="FFFF0000"/>
        <rFont val="Calibri"/>
        <family val="2"/>
        <scheme val="minor"/>
      </rPr>
      <t>0,38</t>
    </r>
    <r>
      <rPr>
        <i/>
        <sz val="9"/>
        <color rgb="FFFF0000"/>
        <rFont val="Calibri"/>
        <family val="2"/>
        <scheme val="minor"/>
      </rPr>
      <t xml:space="preserve"> IN CASO DI INTERVENTO IN ORARIO </t>
    </r>
    <r>
      <rPr>
        <b/>
        <i/>
        <sz val="9"/>
        <color rgb="FFFF0000"/>
        <rFont val="Calibri"/>
        <family val="2"/>
        <scheme val="minor"/>
      </rPr>
      <t>DIURNO NON FESTIVO</t>
    </r>
    <r>
      <rPr>
        <i/>
        <sz val="9"/>
        <color rgb="FFFF0000"/>
        <rFont val="Calibri"/>
        <family val="2"/>
        <scheme val="minor"/>
      </rPr>
      <t xml:space="preserve">.  IL MEDESIMO COSTO PD/PC AMMONTA, INVECE, A: EURO </t>
    </r>
    <r>
      <rPr>
        <b/>
        <i/>
        <sz val="9"/>
        <color rgb="FFFF0000"/>
        <rFont val="Calibri"/>
        <family val="2"/>
        <scheme val="minor"/>
      </rPr>
      <t>0,43</t>
    </r>
    <r>
      <rPr>
        <i/>
        <sz val="9"/>
        <color rgb="FFFF0000"/>
        <rFont val="Calibri"/>
        <family val="2"/>
        <scheme val="minor"/>
      </rPr>
      <t xml:space="preserve"> IN CASO DI INTERVENTO IN ORARIO </t>
    </r>
    <r>
      <rPr>
        <b/>
        <i/>
        <sz val="9"/>
        <color rgb="FFFF0000"/>
        <rFont val="Calibri"/>
        <family val="2"/>
        <scheme val="minor"/>
      </rPr>
      <t>NOTTURNO NON FESTIVO/DIURNO FESTIVO</t>
    </r>
    <r>
      <rPr>
        <i/>
        <sz val="9"/>
        <color rgb="FFFF0000"/>
        <rFont val="Calibri"/>
        <family val="2"/>
        <scheme val="minor"/>
      </rPr>
      <t xml:space="preserve">; EURO </t>
    </r>
    <r>
      <rPr>
        <b/>
        <i/>
        <sz val="9"/>
        <color rgb="FFFF0000"/>
        <rFont val="Calibri"/>
        <family val="2"/>
        <scheme val="minor"/>
      </rPr>
      <t xml:space="preserve">0,50 </t>
    </r>
    <r>
      <rPr>
        <i/>
        <sz val="9"/>
        <color rgb="FFFF0000"/>
        <rFont val="Calibri"/>
        <family val="2"/>
        <scheme val="minor"/>
      </rPr>
      <t xml:space="preserve">IN CASO DI INTERVENTO IN </t>
    </r>
    <r>
      <rPr>
        <b/>
        <i/>
        <sz val="9"/>
        <color rgb="FFFF0000"/>
        <rFont val="Calibri"/>
        <family val="2"/>
        <scheme val="minor"/>
      </rPr>
      <t>ORARIO FESTIVO NOTTURNO</t>
    </r>
    <r>
      <rPr>
        <i/>
        <sz val="9"/>
        <color rgb="FFFF0000"/>
        <rFont val="Calibri"/>
        <family val="2"/>
        <scheme val="minor"/>
      </rPr>
      <t xml:space="preserve">. </t>
    </r>
    <r>
      <rPr>
        <b/>
        <i/>
        <sz val="9"/>
        <color rgb="FFFF0000"/>
        <rFont val="Calibri"/>
        <family val="2"/>
        <scheme val="minor"/>
      </rPr>
      <t>IN QUESTI ULTIMI 3 CASI IL COSTO TOT MASSIMO GIORNALIERO SARA' PERTANTO MAGGIORE DI QUELLO RIPORTATO IN TABELLA. CIO' IN APPLICAZIONE DEGLI ART. 53 E 58 DEL CCNL DI SETTORE RICHIAMATO DALLO SCHEMA DI CAPITOLATO</t>
    </r>
  </si>
  <si>
    <r>
      <t xml:space="preserve">*** IL COSTO DELLA SCHEDA TELEFONICA UNA TANTUM è PARI A </t>
    </r>
    <r>
      <rPr>
        <b/>
        <i/>
        <sz val="9"/>
        <color rgb="FF000000"/>
        <rFont val="Calibri"/>
        <family val="2"/>
        <scheme val="minor"/>
      </rPr>
      <t>5,00 EURO</t>
    </r>
    <r>
      <rPr>
        <i/>
        <sz val="9"/>
        <color rgb="FF000000"/>
        <rFont val="Calibri"/>
        <family val="2"/>
        <scheme val="minor"/>
      </rPr>
      <t xml:space="preserve">. IL COSTO PRO-DIE/PRO-CAPITE, CONSIDERANDO 12 TURNOVER ALL'ANNO, è PARI A 0,16 EURO </t>
    </r>
  </si>
  <si>
    <t>* COSTO DA NON COSNIDERARE NELL'IPOTESI DI IMMOBILI MESSI A DISPOSIZIONE DALL'AMMINISTRAZIONE</t>
  </si>
  <si>
    <r>
      <t xml:space="preserve">* IL COSTO DEL KIT DI PRIMO INGRESSO PER SINGOLO MIGRANTE è DI </t>
    </r>
    <r>
      <rPr>
        <b/>
        <sz val="9"/>
        <color theme="1"/>
        <rFont val="Calibri"/>
        <family val="2"/>
        <scheme val="minor"/>
      </rPr>
      <t>173 EURO</t>
    </r>
    <r>
      <rPr>
        <sz val="9"/>
        <color theme="1"/>
        <rFont val="Calibri"/>
        <family val="2"/>
        <scheme val="minor"/>
      </rPr>
      <t>. IL COSTO PRO-DIE/PRO-CAPITE è DI 1,88 EURO, CONSIDERANDO UN SECONDO KIT DA 173 EURO AL CAMBIO DI STAGIONE ED UN TURNOVER L'ANNO (346 X 2 / 365 GG)</t>
    </r>
  </si>
  <si>
    <t>** IL COSTO DEL KIT DI PRIMO INGRESSO PER SINGOLO MIGRANTE è DI 173 EURO. IL COSTO PRO-DIE/PRO-CAPITE è DI 1,90 EURO, CONSIDERANDO UN SECONDO KIT DA 173 EURO AL CAMBIO DI STAGIONE ED UN TURNOVER ALL'ANNO (346 X 2 / 365 GG)</t>
  </si>
  <si>
    <t>*IL COSTO DEL KIT DI PRIMO INGRESSO PER SINGOLO MIGRANTE è DI 173 EURO. IL COSTO PRO-DIE/PRO-CAPITE è DI 1,90 EURO, CONSIDERANDO UN SECONDO KIT DA 173 EURO AL CAMBIO DI STAGIONE ED UN TURNOVER ALL'ANNO (346 X 2 / 365 GG)</t>
  </si>
  <si>
    <t>*IL COSTO DEL KIT PER SINGOLO MIGRANTE è PARI A 173 EURO . IL COSTO PRO-DIE/PRO-CAPITE, CONSIDERANDO 12 TURNOVER ALL'ANNO è PARI A 5,65 EURO</t>
  </si>
  <si>
    <t xml:space="preserve">** IL COSTO DELLA SCHEDA TELEFONICA UNA TANTUM è PARI A 5,00 EURO. IL COSTO PRO-DIE/PRO-CAPITE, CONSIDERANDO 12 TURNOVER ALL'ANNO, è PARI A 0,16 EURO </t>
  </si>
  <si>
    <t>*  IL COSTO DEL KIT DI PRIMO INGRESSO PER SINGOLO MIGRANTE è DI 173 EURO. IL COSTO PRO-DIE/PRO-CAPITE è DI 1,90 EURO, CONSIDERANDO UN SECONDO KIT DA 173 EURO AL CAMBIO DI STAGIONE ED UN TURNOVER ALL'ANNO (346 X 2 / 365 GG)</t>
  </si>
  <si>
    <r>
      <t xml:space="preserve">** IL COSTO DELLA SCHEDA TELEFONICA UNA TANTUM è PARI A </t>
    </r>
    <r>
      <rPr>
        <b/>
        <i/>
        <sz val="10"/>
        <color theme="1"/>
        <rFont val="Calibri"/>
        <family val="2"/>
        <scheme val="minor"/>
      </rPr>
      <t>5,00 EURO.</t>
    </r>
    <r>
      <rPr>
        <i/>
        <sz val="10"/>
        <color theme="1"/>
        <rFont val="Calibri"/>
        <family val="2"/>
        <scheme val="minor"/>
      </rPr>
      <t xml:space="preserve"> IL COSTO PRO-DIE/PRO-CAPITE, CONSIDERANDO UN TURNOVER ALL'ANNO, AMMONTA A EURO 0,027</t>
    </r>
  </si>
  <si>
    <r>
      <t xml:space="preserve">INTERVENTO A CHIAMATA MEDICO PER VISITE </t>
    </r>
    <r>
      <rPr>
        <b/>
        <i/>
        <sz val="10"/>
        <color theme="1"/>
        <rFont val="Calibri"/>
        <family val="2"/>
        <scheme val="minor"/>
      </rPr>
      <t>PRIMO INGRESSO E PRIMO SOCCORSO</t>
    </r>
    <r>
      <rPr>
        <i/>
        <sz val="10"/>
        <color theme="1"/>
        <rFont val="Calibri"/>
        <family val="2"/>
        <scheme val="minor"/>
      </rPr>
      <t xml:space="preserve"> (ipotizzando </t>
    </r>
    <r>
      <rPr>
        <b/>
        <i/>
        <sz val="10"/>
        <color theme="1"/>
        <rFont val="Calibri"/>
        <family val="2"/>
        <scheme val="minor"/>
      </rPr>
      <t>max 4 ore all’anno pro-capite</t>
    </r>
    <r>
      <rPr>
        <i/>
        <sz val="10"/>
        <color theme="1"/>
        <rFont val="Calibri"/>
        <family val="2"/>
        <scheme val="minor"/>
      </rPr>
      <t>)****</t>
    </r>
  </si>
  <si>
    <r>
      <t xml:space="preserve">INTERVENTO A </t>
    </r>
    <r>
      <rPr>
        <b/>
        <i/>
        <sz val="10"/>
        <color theme="1"/>
        <rFont val="Calibri"/>
        <family val="2"/>
        <scheme val="minor"/>
      </rPr>
      <t>CHIAMATA MEDICO IN REPERIBILITA'</t>
    </r>
    <r>
      <rPr>
        <i/>
        <sz val="10"/>
        <color theme="1"/>
        <rFont val="Calibri"/>
        <family val="2"/>
        <scheme val="minor"/>
      </rPr>
      <t xml:space="preserve"> (ipotizzando </t>
    </r>
    <r>
      <rPr>
        <b/>
        <i/>
        <sz val="10"/>
        <color theme="1"/>
        <rFont val="Calibri"/>
        <family val="2"/>
        <scheme val="minor"/>
      </rPr>
      <t>max 4 ore di intervento pro-die</t>
    </r>
    <r>
      <rPr>
        <i/>
        <sz val="10"/>
        <color theme="1"/>
        <rFont val="Calibri"/>
        <family val="2"/>
        <scheme val="minor"/>
      </rPr>
      <t>)*****</t>
    </r>
  </si>
  <si>
    <r>
      <t>IL COSTO PRO-DIE/PRO-CAPITE DELL'INTERVENTO A CHIAMATA DEL MEDICO IN REPERIBILITA', PER VISITE DI PRIMO INGRESSO E PRIMO SOCCORSO,  E' DI EURO</t>
    </r>
    <r>
      <rPr>
        <b/>
        <i/>
        <sz val="9"/>
        <color theme="1"/>
        <rFont val="Calibri"/>
        <family val="2"/>
        <scheme val="minor"/>
      </rPr>
      <t xml:space="preserve"> 0,38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DIURNO NON FESTIVO</t>
    </r>
    <r>
      <rPr>
        <i/>
        <sz val="9"/>
        <color theme="1"/>
        <rFont val="Calibri"/>
        <family val="2"/>
        <scheme val="minor"/>
      </rPr>
      <t xml:space="preserve">.  IL MEDESIMO COSTO PD/PC AMMONTA, INVECE, A: EURO </t>
    </r>
    <r>
      <rPr>
        <b/>
        <i/>
        <sz val="9"/>
        <color theme="1"/>
        <rFont val="Calibri"/>
        <family val="2"/>
        <scheme val="minor"/>
      </rPr>
      <t>0,43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NOTTURNO NON FESTIVO/DIURNO FESTIVO</t>
    </r>
    <r>
      <rPr>
        <i/>
        <sz val="9"/>
        <color theme="1"/>
        <rFont val="Calibri"/>
        <family val="2"/>
        <scheme val="minor"/>
      </rPr>
      <t xml:space="preserve">; EURO </t>
    </r>
    <r>
      <rPr>
        <b/>
        <i/>
        <sz val="9"/>
        <color theme="1"/>
        <rFont val="Calibri"/>
        <family val="2"/>
        <scheme val="minor"/>
      </rPr>
      <t>0,50</t>
    </r>
    <r>
      <rPr>
        <i/>
        <sz val="9"/>
        <color theme="1"/>
        <rFont val="Calibri"/>
        <family val="2"/>
        <scheme val="minor"/>
      </rPr>
      <t xml:space="preserve"> IN CASO DI INTERVENTO IN </t>
    </r>
    <r>
      <rPr>
        <b/>
        <i/>
        <sz val="9"/>
        <color theme="1"/>
        <rFont val="Calibri"/>
        <family val="2"/>
        <scheme val="minor"/>
      </rPr>
      <t>ORARIO FESTIVO NOTTURNO</t>
    </r>
    <r>
      <rPr>
        <i/>
        <sz val="9"/>
        <color theme="1"/>
        <rFont val="Calibri"/>
        <family val="2"/>
        <scheme val="minor"/>
      </rPr>
      <t xml:space="preserve">. </t>
    </r>
    <r>
      <rPr>
        <b/>
        <i/>
        <sz val="9"/>
        <color theme="1"/>
        <rFont val="Calibri"/>
        <family val="2"/>
        <scheme val="minor"/>
      </rPr>
      <t>IN QUESTI ULTIMI 3 CASI IL COSTO TOT MASSIMO GIORNALIERO SARA' PERTANTO MAGGIORE DI QUELLO RIPORTATO IN TABELLA. CIO' IN APPLICAZIONE DEGLI ART. 53 E 58 DEL CCNL DI SETTORE RICHIAMATO DALLO SCHEMA DI CAPITOLATO</t>
    </r>
  </si>
  <si>
    <r>
      <t xml:space="preserve">*****IL COSTO PRO-DIE/PRO-CAPITE DELL'INTERVENTO A CHIAMATA DEL MEDICO IN REPERIBILITA' E' DI EURO </t>
    </r>
    <r>
      <rPr>
        <b/>
        <i/>
        <sz val="9"/>
        <color theme="1"/>
        <rFont val="Calibri"/>
        <family val="2"/>
        <scheme val="minor"/>
      </rPr>
      <t>2,80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DIURNO NON FESTIVO</t>
    </r>
    <r>
      <rPr>
        <i/>
        <sz val="9"/>
        <color theme="1"/>
        <rFont val="Calibri"/>
        <family val="2"/>
        <scheme val="minor"/>
      </rPr>
      <t xml:space="preserve">.  IL MEDESIMO COSTO PD/PC AMMONTA, INVECE, A: EURO </t>
    </r>
    <r>
      <rPr>
        <b/>
        <i/>
        <sz val="9"/>
        <color theme="1"/>
        <rFont val="Calibri"/>
        <family val="2"/>
        <scheme val="minor"/>
      </rPr>
      <t>3,18</t>
    </r>
    <r>
      <rPr>
        <i/>
        <sz val="9"/>
        <color theme="1"/>
        <rFont val="Calibri"/>
        <family val="2"/>
        <scheme val="minor"/>
      </rPr>
      <t xml:space="preserve"> IN CASO DI INTERVENTO IN </t>
    </r>
    <r>
      <rPr>
        <b/>
        <i/>
        <sz val="9"/>
        <color theme="1"/>
        <rFont val="Calibri"/>
        <family val="2"/>
        <scheme val="minor"/>
      </rPr>
      <t>ORARIO NOTTURNO NON FESTIVO</t>
    </r>
    <r>
      <rPr>
        <i/>
        <sz val="9"/>
        <color theme="1"/>
        <rFont val="Calibri"/>
        <family val="2"/>
        <scheme val="minor"/>
      </rPr>
      <t xml:space="preserve">; EURO 3,18 IN CASO DI INTERVENTO IN ORARIO </t>
    </r>
    <r>
      <rPr>
        <b/>
        <i/>
        <sz val="9"/>
        <color theme="1"/>
        <rFont val="Calibri"/>
        <family val="2"/>
        <scheme val="minor"/>
      </rPr>
      <t>FESTIVO DIURNO</t>
    </r>
    <r>
      <rPr>
        <i/>
        <sz val="9"/>
        <color theme="1"/>
        <rFont val="Calibri"/>
        <family val="2"/>
        <scheme val="minor"/>
      </rPr>
      <t xml:space="preserve">; EURO </t>
    </r>
    <r>
      <rPr>
        <b/>
        <i/>
        <sz val="9"/>
        <color theme="1"/>
        <rFont val="Calibri"/>
        <family val="2"/>
        <scheme val="minor"/>
      </rPr>
      <t>3,66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FESTIVO NOTTURNO</t>
    </r>
    <r>
      <rPr>
        <i/>
        <sz val="9"/>
        <color theme="1"/>
        <rFont val="Calibri"/>
        <family val="2"/>
        <scheme val="minor"/>
      </rPr>
      <t xml:space="preserve">. </t>
    </r>
    <r>
      <rPr>
        <b/>
        <i/>
        <sz val="9"/>
        <color theme="1"/>
        <rFont val="Calibri"/>
        <family val="2"/>
        <scheme val="minor"/>
      </rPr>
      <t>IN QUESTI ULTIMI 3 CASI IL COSTO TOT MASSIMO GIORNALIERO SARA' PERTANTO MAGGIORE DI QUELLO RIPORTATO IN TABELLA. CIO' IN APPLICAZIONE DEGLI ART. 53 E 58 DEL CCNL DI SETTORE RICHIAMATO DALLO SCHEMA DI CAPITOLATO</t>
    </r>
  </si>
  <si>
    <r>
      <t xml:space="preserve">INTERVENTO A CHIAMATA MEDICO PER </t>
    </r>
    <r>
      <rPr>
        <b/>
        <i/>
        <sz val="10"/>
        <color theme="1"/>
        <rFont val="Calibri"/>
        <family val="2"/>
        <scheme val="minor"/>
      </rPr>
      <t>VISITE PRIMO INGRESSO E PRIMO SOCCORSO</t>
    </r>
    <r>
      <rPr>
        <i/>
        <sz val="10"/>
        <color theme="1"/>
        <rFont val="Calibri"/>
        <family val="2"/>
        <scheme val="minor"/>
      </rPr>
      <t xml:space="preserve">  (ipotizzando </t>
    </r>
    <r>
      <rPr>
        <b/>
        <i/>
        <sz val="10"/>
        <color theme="1"/>
        <rFont val="Calibri"/>
        <family val="2"/>
        <scheme val="minor"/>
      </rPr>
      <t>max 4 ore all’anno pro-capite</t>
    </r>
    <r>
      <rPr>
        <i/>
        <sz val="10"/>
        <color theme="1"/>
        <rFont val="Calibri"/>
        <family val="2"/>
        <scheme val="minor"/>
      </rPr>
      <t xml:space="preserve">)****                          </t>
    </r>
  </si>
  <si>
    <r>
      <t>INTERVENTO A</t>
    </r>
    <r>
      <rPr>
        <b/>
        <i/>
        <sz val="10"/>
        <color theme="1"/>
        <rFont val="Calibri"/>
        <family val="2"/>
        <scheme val="minor"/>
      </rPr>
      <t xml:space="preserve"> CHIAMATA MEDICO IN REPERIBILITA'</t>
    </r>
    <r>
      <rPr>
        <b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(ipotizzando </t>
    </r>
    <r>
      <rPr>
        <b/>
        <i/>
        <sz val="10"/>
        <color theme="1"/>
        <rFont val="Calibri"/>
        <family val="2"/>
        <scheme val="minor"/>
      </rPr>
      <t>max 4 ore di intervento pro-die</t>
    </r>
    <r>
      <rPr>
        <i/>
        <sz val="10"/>
        <color theme="1"/>
        <rFont val="Calibri"/>
        <family val="2"/>
        <scheme val="minor"/>
      </rPr>
      <t>)*****</t>
    </r>
  </si>
  <si>
    <r>
      <t xml:space="preserve">*** IL COSTO PRO-DIE/PROCAPITE DELL’INTEREVENTO A CHIAMATA DELL’OPERATORE NOTTURNO È DI € 3,82 IN CASO DI INTEREVENTO IN GIORNI </t>
    </r>
    <r>
      <rPr>
        <b/>
        <i/>
        <sz val="9"/>
        <color theme="1"/>
        <rFont val="Calibri"/>
        <family val="2"/>
        <scheme val="minor"/>
      </rPr>
      <t>NON FESTIVI.</t>
    </r>
    <r>
      <rPr>
        <i/>
        <sz val="9"/>
        <color theme="1"/>
        <rFont val="Calibri"/>
        <family val="2"/>
        <scheme val="minor"/>
      </rPr>
      <t xml:space="preserve"> IN CASO DI INTERVENTO DELL’OPERATORE NOTURNO NEI GIORNI </t>
    </r>
    <r>
      <rPr>
        <b/>
        <i/>
        <sz val="9"/>
        <color theme="1"/>
        <rFont val="Calibri"/>
        <family val="2"/>
        <scheme val="minor"/>
      </rPr>
      <t>FESTIVI</t>
    </r>
    <r>
      <rPr>
        <i/>
        <sz val="9"/>
        <color theme="1"/>
        <rFont val="Calibri"/>
        <family val="2"/>
        <scheme val="minor"/>
      </rPr>
      <t xml:space="preserve"> IL PREDETTO COSTO PRO-DIE/PRO-CAPITE AMMONTA AD EURO </t>
    </r>
    <r>
      <rPr>
        <b/>
        <i/>
        <sz val="9"/>
        <color theme="1"/>
        <rFont val="Calibri"/>
        <family val="2"/>
        <scheme val="minor"/>
      </rPr>
      <t>4,41 ED IL COSTO TOTALE MASSIMO GIORNALIERO SARÀ, PERTANTO MAGGIORE DI QUELLO RIPORTATO NELLA TABELLA. CIÒ IN APPLICAZIONE DEGLI ARTICOLI 53 E 58  DEL CCNL DI SETTORE RICHIAMATO DALLO SCHEMA DI CAPITOLATO.</t>
    </r>
  </si>
  <si>
    <r>
      <t xml:space="preserve">**** IL COSTO PRO-DIE/PRO-CAPITE DELL'INTERVENTO A CHIAMATA DEL MEDICO IN REPERIBILITA', PER VISITE DI PRIMO INGRESSO E PRIMO SOCCORSO,  E' DI EURO </t>
    </r>
    <r>
      <rPr>
        <b/>
        <i/>
        <sz val="9"/>
        <color theme="1"/>
        <rFont val="Calibri"/>
        <family val="2"/>
        <scheme val="minor"/>
      </rPr>
      <t>0,38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DIURNO NON FESTIVO</t>
    </r>
    <r>
      <rPr>
        <i/>
        <sz val="9"/>
        <color theme="1"/>
        <rFont val="Calibri"/>
        <family val="2"/>
        <scheme val="minor"/>
      </rPr>
      <t xml:space="preserve">.  IL MEDESIMO COSTO PD/PC AMMONTA, INVECE, A: EURO </t>
    </r>
    <r>
      <rPr>
        <b/>
        <i/>
        <sz val="9"/>
        <color theme="1"/>
        <rFont val="Calibri"/>
        <family val="2"/>
        <scheme val="minor"/>
      </rPr>
      <t>0,43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NOTTURNO NON FESTIVO/DIURNO FESTIVO</t>
    </r>
    <r>
      <rPr>
        <i/>
        <sz val="9"/>
        <color theme="1"/>
        <rFont val="Calibri"/>
        <family val="2"/>
        <scheme val="minor"/>
      </rPr>
      <t xml:space="preserve">; EURO </t>
    </r>
    <r>
      <rPr>
        <b/>
        <i/>
        <sz val="9"/>
        <color theme="1"/>
        <rFont val="Calibri"/>
        <family val="2"/>
        <scheme val="minor"/>
      </rPr>
      <t xml:space="preserve">0,50 </t>
    </r>
    <r>
      <rPr>
        <i/>
        <sz val="9"/>
        <color theme="1"/>
        <rFont val="Calibri"/>
        <family val="2"/>
        <scheme val="minor"/>
      </rPr>
      <t xml:space="preserve">IN CASO DI INTERVENTO IN </t>
    </r>
    <r>
      <rPr>
        <b/>
        <i/>
        <sz val="9"/>
        <color theme="1"/>
        <rFont val="Calibri"/>
        <family val="2"/>
        <scheme val="minor"/>
      </rPr>
      <t>ORARIO FESTIVO NOTTURNO</t>
    </r>
    <r>
      <rPr>
        <i/>
        <sz val="9"/>
        <color theme="1"/>
        <rFont val="Calibri"/>
        <family val="2"/>
        <scheme val="minor"/>
      </rPr>
      <t xml:space="preserve">. </t>
    </r>
    <r>
      <rPr>
        <b/>
        <i/>
        <sz val="9"/>
        <color theme="1"/>
        <rFont val="Calibri"/>
        <family val="2"/>
        <scheme val="minor"/>
      </rPr>
      <t>IN QUESTI ULTIMI 3 CASI IL COSTO TOT MASSIMO GIORNALIERO SARA' PERTANTO MAGGIORE DI QUELLO RIPORTATO IN TABELLA. CIO' IN APPLICAZIONE DEGLI ART. 53 E 58 DEL CCNL DI SETTORE RICHIAMATO DALLO SCHEMA DI CAPITOLATO</t>
    </r>
  </si>
  <si>
    <r>
      <t xml:space="preserve">***** IL COSTO PRO-DIE/PRO-CAPITE DELL'INTERVENTO A CHIAMATA DEL MEDICO IN REPERIBILITA' E' DI EURO </t>
    </r>
    <r>
      <rPr>
        <b/>
        <i/>
        <sz val="9"/>
        <color theme="1"/>
        <rFont val="Calibri"/>
        <family val="2"/>
        <scheme val="minor"/>
      </rPr>
      <t xml:space="preserve">2,80 </t>
    </r>
    <r>
      <rPr>
        <i/>
        <sz val="9"/>
        <color theme="1"/>
        <rFont val="Calibri"/>
        <family val="2"/>
        <scheme val="minor"/>
      </rPr>
      <t>IN CASO DI INTERVENTO IN ORARIO</t>
    </r>
    <r>
      <rPr>
        <b/>
        <i/>
        <sz val="9"/>
        <color theme="1"/>
        <rFont val="Calibri"/>
        <family val="2"/>
        <scheme val="minor"/>
      </rPr>
      <t xml:space="preserve"> DIURNO NON FESTIVO.  </t>
    </r>
    <r>
      <rPr>
        <i/>
        <sz val="9"/>
        <color theme="1"/>
        <rFont val="Calibri"/>
        <family val="2"/>
        <scheme val="minor"/>
      </rPr>
      <t xml:space="preserve">IL MEDESIMO COSTO PD/PC AMMONTA, INVECE, A: </t>
    </r>
    <r>
      <rPr>
        <b/>
        <i/>
        <sz val="9"/>
        <color theme="1"/>
        <rFont val="Calibri"/>
        <family val="2"/>
        <scheme val="minor"/>
      </rPr>
      <t xml:space="preserve">EURO 3,18 </t>
    </r>
    <r>
      <rPr>
        <i/>
        <sz val="9"/>
        <color theme="1"/>
        <rFont val="Calibri"/>
        <family val="2"/>
        <scheme val="minor"/>
      </rPr>
      <t xml:space="preserve">IN CASO DI INTERVENTO IN ORARIO </t>
    </r>
    <r>
      <rPr>
        <b/>
        <i/>
        <sz val="9"/>
        <color theme="1"/>
        <rFont val="Calibri"/>
        <family val="2"/>
        <scheme val="minor"/>
      </rPr>
      <t xml:space="preserve">NOTTURNO NON FESTIVO; EURO 3,18 </t>
    </r>
    <r>
      <rPr>
        <i/>
        <sz val="9"/>
        <color theme="1"/>
        <rFont val="Calibri"/>
        <family val="2"/>
        <scheme val="minor"/>
      </rPr>
      <t xml:space="preserve">IN CASO DI INTERVENTO IN </t>
    </r>
    <r>
      <rPr>
        <b/>
        <i/>
        <sz val="9"/>
        <color theme="1"/>
        <rFont val="Calibri"/>
        <family val="2"/>
        <scheme val="minor"/>
      </rPr>
      <t>ORARIO FESTIVO DIURNO; EURO 3,66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FESTIVO NOTTURNO. IN QUESTI ULTIMI 3 CASI IL COSTO TOT MASSIMO GIORNALIERO SARA' PERTANTO MAGGIORE DI QUELLO RIPORTATO IN TABELLA. CIO' IN APPLICAZIONE DEGLI ART. 53 E 58 DEL CCNL DI SETTORE RICHIAMATO DALLO SCHEMA DI CAPITOLATO</t>
    </r>
  </si>
  <si>
    <r>
      <t xml:space="preserve">** IL COSTO DEL KIT PER SINGOLO MIGRANTE è PARI A </t>
    </r>
    <r>
      <rPr>
        <b/>
        <i/>
        <sz val="9"/>
        <color theme="1"/>
        <rFont val="Calibri"/>
        <family val="2"/>
        <scheme val="minor"/>
      </rPr>
      <t>173 EURO</t>
    </r>
    <r>
      <rPr>
        <i/>
        <sz val="9"/>
        <color theme="1"/>
        <rFont val="Calibri"/>
        <family val="2"/>
        <scheme val="minor"/>
      </rPr>
      <t xml:space="preserve"> . IL COSTO PRO-DIE/PRO-CAPITE, CONSIDERANDO 12 TURNOVER ALL'ANNO è PARI A 5,69 EURO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</si>
</sst>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€-2]\ #,##0.00;[Red]\-[$€-2]\ #,##0.00"/>
    <numFmt numFmtId="165" formatCode="[$€-2]\ #,##0.000;[Red]\-[$€-2]\ #,##0.000"/>
    <numFmt numFmtId="166" formatCode="#,##0.00\ &quot;€&quot;"/>
    <numFmt numFmtId="167" formatCode="#,##0.00\ [$€-1];[Red]\-#,##0.00\ [$€-1]"/>
    <numFmt numFmtId="168" formatCode="[$€-2]\ #,##0.00"/>
    <numFmt numFmtId="169" formatCode="#,##0.000\ &quot;€&quot;"/>
    <numFmt numFmtId="170" formatCode="0.00000%"/>
  </numFmts>
  <fonts count="37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2" fillId="0" borderId="0" applyFont="0" applyFill="0" applyBorder="0" applyAlignment="0" applyProtection="0"/>
  </cellStyleXfs>
  <cellXfs count="311">
    <xf numFmtId="0" fontId="0" fillId="0" borderId="0" xfId="0"/>
    <xf numFmtId="0" fontId="0" fillId="0" borderId="9" xfId="0" applyBorder="1"/>
    <xf numFmtId="0" fontId="3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65" fontId="8" fillId="0" borderId="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justify" vertical="center"/>
    </xf>
    <xf numFmtId="164" fontId="12" fillId="0" borderId="9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166" fontId="9" fillId="2" borderId="9" xfId="0" applyNumberFormat="1" applyFont="1" applyFill="1" applyBorder="1" applyAlignment="1">
      <alignment horizontal="center" vertical="center" wrapText="1"/>
    </xf>
    <xf numFmtId="166" fontId="8" fillId="2" borderId="13" xfId="0" applyNumberFormat="1" applyFont="1" applyFill="1" applyBorder="1" applyAlignment="1">
      <alignment horizontal="center" vertical="center" wrapText="1"/>
    </xf>
    <xf numFmtId="166" fontId="21" fillId="2" borderId="9" xfId="0" applyNumberFormat="1" applyFont="1" applyFill="1" applyBorder="1" applyAlignment="1">
      <alignment horizontal="center" vertical="center" wrapText="1"/>
    </xf>
    <xf numFmtId="166" fontId="21" fillId="3" borderId="9" xfId="0" applyNumberFormat="1" applyFont="1" applyFill="1" applyBorder="1" applyAlignment="1">
      <alignment horizontal="center" vertical="center" wrapText="1"/>
    </xf>
    <xf numFmtId="168" fontId="13" fillId="0" borderId="9" xfId="0" applyNumberFormat="1" applyFont="1" applyBorder="1" applyAlignment="1">
      <alignment horizontal="center" vertical="center" wrapText="1"/>
    </xf>
    <xf numFmtId="0" fontId="4" fillId="3" borderId="16" xfId="0" applyFont="1" applyFill="1" applyBorder="1" applyAlignment="1">
      <alignment vertical="center" wrapText="1"/>
    </xf>
    <xf numFmtId="166" fontId="9" fillId="2" borderId="17" xfId="0" applyNumberFormat="1" applyFont="1" applyFill="1" applyBorder="1" applyAlignment="1">
      <alignment horizontal="center" vertical="center" wrapText="1"/>
    </xf>
    <xf numFmtId="166" fontId="21" fillId="2" borderId="17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3" borderId="16" xfId="0" applyFont="1" applyFill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4" fillId="3" borderId="18" xfId="0" applyFont="1" applyFill="1" applyBorder="1" applyAlignment="1">
      <alignment vertical="center" wrapText="1"/>
    </xf>
    <xf numFmtId="0" fontId="12" fillId="3" borderId="1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 wrapText="1"/>
    </xf>
    <xf numFmtId="167" fontId="21" fillId="2" borderId="17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166" fontId="9" fillId="2" borderId="22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9" fontId="8" fillId="2" borderId="9" xfId="0" applyNumberFormat="1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166" fontId="21" fillId="5" borderId="17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0" fontId="0" fillId="0" borderId="0" xfId="1" applyNumberFormat="1" applyFont="1"/>
    <xf numFmtId="10" fontId="0" fillId="0" borderId="0" xfId="0" applyNumberFormat="1"/>
    <xf numFmtId="166" fontId="0" fillId="6" borderId="0" xfId="0" applyNumberFormat="1" applyFill="1"/>
    <xf numFmtId="170" fontId="0" fillId="0" borderId="0" xfId="1" applyNumberFormat="1" applyFont="1"/>
    <xf numFmtId="0" fontId="2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justify" vertical="center" wrapText="1"/>
    </xf>
    <xf numFmtId="0" fontId="18" fillId="0" borderId="2" xfId="0" applyFont="1" applyBorder="1" applyAlignment="1">
      <alignment horizontal="justify" vertical="center" wrapText="1"/>
    </xf>
    <xf numFmtId="0" fontId="18" fillId="0" borderId="3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justify" vertical="center" wrapText="1"/>
    </xf>
    <xf numFmtId="0" fontId="26" fillId="0" borderId="8" xfId="0" applyFont="1" applyBorder="1" applyAlignment="1">
      <alignment horizontal="justify" vertical="center" wrapText="1"/>
    </xf>
    <xf numFmtId="0" fontId="26" fillId="0" borderId="9" xfId="0" applyFont="1" applyBorder="1" applyAlignment="1">
      <alignment horizontal="justify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justify" vertical="top"/>
    </xf>
    <xf numFmtId="0" fontId="15" fillId="0" borderId="2" xfId="0" applyFont="1" applyBorder="1" applyAlignment="1">
      <alignment horizontal="justify" vertical="top"/>
    </xf>
    <xf numFmtId="0" fontId="15" fillId="0" borderId="3" xfId="0" applyFont="1" applyBorder="1" applyAlignment="1">
      <alignment horizontal="justify" vertical="top"/>
    </xf>
    <xf numFmtId="0" fontId="13" fillId="0" borderId="1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vertical="center" wrapText="1"/>
    </xf>
    <xf numFmtId="164" fontId="7" fillId="7" borderId="9" xfId="0" applyNumberFormat="1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2" fillId="0" borderId="4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14" fillId="0" borderId="9" xfId="0" applyNumberFormat="1" applyFont="1" applyFill="1" applyBorder="1" applyAlignment="1">
      <alignment horizontal="center" vertical="center" wrapText="1"/>
    </xf>
    <xf numFmtId="164" fontId="7" fillId="0" borderId="2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vertical="center"/>
    </xf>
    <xf numFmtId="0" fontId="22" fillId="7" borderId="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164" fontId="14" fillId="7" borderId="9" xfId="0" applyNumberFormat="1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horizontal="center" vertical="center" wrapText="1"/>
    </xf>
    <xf numFmtId="0" fontId="34" fillId="3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9" xfId="0" applyFont="1" applyBorder="1"/>
    <xf numFmtId="0" fontId="22" fillId="4" borderId="9" xfId="0" applyFont="1" applyFill="1" applyBorder="1" applyAlignment="1">
      <alignment horizontal="center" vertical="center"/>
    </xf>
    <xf numFmtId="164" fontId="14" fillId="3" borderId="9" xfId="0" applyNumberFormat="1" applyFont="1" applyFill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 vertical="center"/>
    </xf>
    <xf numFmtId="164" fontId="22" fillId="7" borderId="9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justify" vertical="center" wrapText="1"/>
    </xf>
    <xf numFmtId="0" fontId="5" fillId="0" borderId="9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0" fillId="0" borderId="0" xfId="0" applyFont="1" applyFill="1"/>
    <xf numFmtId="0" fontId="7" fillId="0" borderId="9" xfId="0" applyFont="1" applyBorder="1" applyAlignment="1">
      <alignment wrapText="1"/>
    </xf>
    <xf numFmtId="0" fontId="7" fillId="0" borderId="9" xfId="0" applyFont="1" applyBorder="1"/>
    <xf numFmtId="0" fontId="7" fillId="0" borderId="9" xfId="0" applyFont="1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0" fillId="0" borderId="1" xfId="0" applyFont="1" applyBorder="1"/>
    <xf numFmtId="164" fontId="7" fillId="0" borderId="1" xfId="0" applyNumberFormat="1" applyFont="1" applyBorder="1" applyAlignment="1">
      <alignment vertical="center"/>
    </xf>
    <xf numFmtId="164" fontId="7" fillId="0" borderId="23" xfId="0" applyNumberFormat="1" applyFont="1" applyBorder="1" applyAlignment="1">
      <alignment horizontal="center" vertical="center"/>
    </xf>
    <xf numFmtId="164" fontId="7" fillId="0" borderId="23" xfId="0" applyNumberFormat="1" applyFont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164" fontId="14" fillId="3" borderId="1" xfId="0" applyNumberFormat="1" applyFont="1" applyFill="1" applyBorder="1" applyAlignment="1">
      <alignment vertical="center"/>
    </xf>
    <xf numFmtId="164" fontId="14" fillId="3" borderId="23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vertical="center"/>
    </xf>
    <xf numFmtId="165" fontId="7" fillId="0" borderId="23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vertical="center"/>
    </xf>
    <xf numFmtId="164" fontId="22" fillId="0" borderId="23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36" fillId="0" borderId="9" xfId="0" applyFont="1" applyFill="1" applyBorder="1" applyAlignment="1">
      <alignment vertical="center" wrapText="1"/>
    </xf>
    <xf numFmtId="164" fontId="14" fillId="0" borderId="9" xfId="0" applyNumberFormat="1" applyFont="1" applyFill="1" applyBorder="1" applyAlignment="1">
      <alignment vertical="center" wrapText="1"/>
    </xf>
    <xf numFmtId="164" fontId="14" fillId="0" borderId="23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22" fillId="0" borderId="9" xfId="0" applyNumberFormat="1" applyFont="1" applyFill="1" applyBorder="1" applyAlignment="1">
      <alignment vertical="center" wrapText="1"/>
    </xf>
    <xf numFmtId="0" fontId="36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/>
    </xf>
    <xf numFmtId="165" fontId="14" fillId="0" borderId="3" xfId="0" applyNumberFormat="1" applyFont="1" applyFill="1" applyBorder="1" applyAlignment="1">
      <alignment vertical="center" wrapText="1"/>
    </xf>
    <xf numFmtId="0" fontId="14" fillId="0" borderId="14" xfId="0" applyFont="1" applyBorder="1" applyAlignment="1">
      <alignment horizontal="center" vertical="center"/>
    </xf>
    <xf numFmtId="164" fontId="7" fillId="0" borderId="7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horizontal="center" vertical="center"/>
    </xf>
    <xf numFmtId="164" fontId="14" fillId="0" borderId="4" xfId="0" applyNumberFormat="1" applyFont="1" applyFill="1" applyBorder="1" applyAlignment="1">
      <alignment vertical="center" wrapText="1"/>
    </xf>
    <xf numFmtId="0" fontId="22" fillId="3" borderId="23" xfId="0" applyFont="1" applyFill="1" applyBorder="1" applyAlignment="1">
      <alignment vertical="center" wrapText="1"/>
    </xf>
    <xf numFmtId="0" fontId="36" fillId="0" borderId="3" xfId="0" applyFont="1" applyFill="1" applyBorder="1" applyAlignment="1">
      <alignment vertical="center" wrapText="1"/>
    </xf>
    <xf numFmtId="164" fontId="14" fillId="0" borderId="3" xfId="0" applyNumberFormat="1" applyFont="1" applyFill="1" applyBorder="1" applyAlignment="1">
      <alignment vertical="center" wrapText="1"/>
    </xf>
    <xf numFmtId="165" fontId="14" fillId="0" borderId="23" xfId="0" applyNumberFormat="1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center" vertical="center" wrapText="1"/>
    </xf>
    <xf numFmtId="164" fontId="22" fillId="0" borderId="4" xfId="0" applyNumberFormat="1" applyFont="1" applyFill="1" applyBorder="1" applyAlignment="1">
      <alignment vertical="center" wrapText="1"/>
    </xf>
    <xf numFmtId="164" fontId="22" fillId="0" borderId="23" xfId="0" applyNumberFormat="1" applyFont="1" applyFill="1" applyBorder="1" applyAlignment="1">
      <alignment vertical="center" wrapText="1"/>
    </xf>
    <xf numFmtId="0" fontId="0" fillId="0" borderId="0" xfId="0" applyBorder="1"/>
    <xf numFmtId="0" fontId="22" fillId="3" borderId="1" xfId="0" applyFont="1" applyFill="1" applyBorder="1" applyAlignment="1">
      <alignment vertical="center" wrapText="1"/>
    </xf>
    <xf numFmtId="0" fontId="0" fillId="0" borderId="2" xfId="0" applyFont="1" applyBorder="1"/>
    <xf numFmtId="0" fontId="1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166" fontId="14" fillId="3" borderId="9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top"/>
    </xf>
    <xf numFmtId="0" fontId="16" fillId="0" borderId="2" xfId="0" applyFont="1" applyBorder="1" applyAlignment="1">
      <alignment horizontal="justify" vertical="top"/>
    </xf>
    <xf numFmtId="0" fontId="16" fillId="0" borderId="3" xfId="0" applyFont="1" applyBorder="1" applyAlignment="1">
      <alignment horizontal="justify" vertical="top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166" fontId="14" fillId="0" borderId="9" xfId="0" applyNumberFormat="1" applyFont="1" applyFill="1" applyBorder="1" applyAlignment="1">
      <alignment horizontal="center" vertical="center" wrapText="1"/>
    </xf>
    <xf numFmtId="168" fontId="13" fillId="0" borderId="13" xfId="0" applyNumberFormat="1" applyFont="1" applyBorder="1" applyAlignment="1">
      <alignment horizontal="center" vertical="center" wrapText="1"/>
    </xf>
    <xf numFmtId="168" fontId="13" fillId="0" borderId="4" xfId="0" applyNumberFormat="1" applyFont="1" applyBorder="1" applyAlignment="1">
      <alignment horizontal="center" vertical="center" wrapText="1"/>
    </xf>
    <xf numFmtId="0" fontId="34" fillId="8" borderId="10" xfId="0" applyFont="1" applyFill="1" applyBorder="1" applyAlignment="1">
      <alignment horizontal="center" vertical="center"/>
    </xf>
    <xf numFmtId="0" fontId="34" fillId="8" borderId="11" xfId="0" applyFont="1" applyFill="1" applyBorder="1" applyAlignment="1">
      <alignment horizontal="center" vertical="center"/>
    </xf>
    <xf numFmtId="0" fontId="34" fillId="8" borderId="12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35" fillId="8" borderId="10" xfId="0" applyFont="1" applyFill="1" applyBorder="1" applyAlignment="1">
      <alignment horizontal="center" vertical="center"/>
    </xf>
    <xf numFmtId="0" fontId="35" fillId="8" borderId="11" xfId="0" applyFont="1" applyFill="1" applyBorder="1" applyAlignment="1">
      <alignment horizontal="center" vertical="center"/>
    </xf>
    <xf numFmtId="0" fontId="35" fillId="8" borderId="12" xfId="0" applyFont="1" applyFill="1" applyBorder="1" applyAlignment="1">
      <alignment horizontal="center" vertical="center"/>
    </xf>
    <xf numFmtId="0" fontId="35" fillId="8" borderId="7" xfId="0" applyFont="1" applyFill="1" applyBorder="1" applyAlignment="1">
      <alignment horizontal="center" vertical="center"/>
    </xf>
    <xf numFmtId="0" fontId="35" fillId="8" borderId="8" xfId="0" applyFont="1" applyFill="1" applyBorder="1" applyAlignment="1">
      <alignment horizontal="center" vertical="center"/>
    </xf>
    <xf numFmtId="0" fontId="35" fillId="8" borderId="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right" vertical="center"/>
    </xf>
    <xf numFmtId="0" fontId="14" fillId="0" borderId="14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22" fillId="3" borderId="13" xfId="0" applyFont="1" applyFill="1" applyBorder="1" applyAlignment="1">
      <alignment vertical="center" wrapText="1"/>
    </xf>
    <xf numFmtId="0" fontId="12" fillId="3" borderId="12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 wrapText="1"/>
    </xf>
    <xf numFmtId="164" fontId="7" fillId="0" borderId="24" xfId="0" applyNumberFormat="1" applyFont="1" applyBorder="1" applyAlignment="1">
      <alignment horizontal="center" vertical="center"/>
    </xf>
    <xf numFmtId="0" fontId="22" fillId="3" borderId="25" xfId="0" applyFont="1" applyFill="1" applyBorder="1" applyAlignment="1">
      <alignment vertical="center"/>
    </xf>
    <xf numFmtId="0" fontId="10" fillId="0" borderId="23" xfId="0" applyFont="1" applyBorder="1" applyAlignment="1">
      <alignment horizontal="center" vertical="center"/>
    </xf>
    <xf numFmtId="0" fontId="22" fillId="3" borderId="14" xfId="0" applyFont="1" applyFill="1" applyBorder="1" applyAlignment="1">
      <alignment vertical="center"/>
    </xf>
    <xf numFmtId="164" fontId="7" fillId="0" borderId="26" xfId="0" applyNumberFormat="1" applyFont="1" applyBorder="1" applyAlignment="1">
      <alignment horizontal="center" vertical="center"/>
    </xf>
    <xf numFmtId="166" fontId="14" fillId="0" borderId="27" xfId="0" applyNumberFormat="1" applyFont="1" applyFill="1" applyBorder="1" applyAlignment="1">
      <alignment horizontal="center" vertical="center" wrapText="1"/>
    </xf>
    <xf numFmtId="167" fontId="14" fillId="0" borderId="23" xfId="0" applyNumberFormat="1" applyFont="1" applyFill="1" applyBorder="1" applyAlignment="1">
      <alignment horizontal="center" vertical="center" wrapText="1"/>
    </xf>
    <xf numFmtId="166" fontId="14" fillId="0" borderId="23" xfId="0" applyNumberFormat="1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166" fontId="14" fillId="0" borderId="28" xfId="0" applyNumberFormat="1" applyFont="1" applyFill="1" applyBorder="1" applyAlignment="1">
      <alignment horizontal="center" vertical="center" wrapText="1"/>
    </xf>
    <xf numFmtId="169" fontId="14" fillId="0" borderId="9" xfId="0" applyNumberFormat="1" applyFont="1" applyFill="1" applyBorder="1" applyAlignment="1">
      <alignment horizontal="center" vertical="center" wrapText="1"/>
    </xf>
    <xf numFmtId="166" fontId="14" fillId="0" borderId="13" xfId="0" applyNumberFormat="1" applyFont="1" applyFill="1" applyBorder="1" applyAlignment="1">
      <alignment horizontal="center" vertical="center" wrapText="1"/>
    </xf>
    <xf numFmtId="166" fontId="14" fillId="0" borderId="32" xfId="0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4"/>
  <sheetViews>
    <sheetView topLeftCell="A15" workbookViewId="0">
      <selection activeCell="B25" sqref="B1:J25"/>
    </sheetView>
  </sheetViews>
  <sheetFormatPr defaultRowHeight="15" x14ac:dyDescent="0.25"/>
  <cols>
    <col min="1" max="1" width="3.42578125" customWidth="1"/>
    <col min="2" max="2" width="82.28515625" bestFit="1" customWidth="1"/>
    <col min="3" max="6" width="0" hidden="1" customWidth="1"/>
    <col min="7" max="10" width="9.140625" style="112"/>
  </cols>
  <sheetData>
    <row r="1" spans="2:10" ht="16.5" thickBot="1" x14ac:dyDescent="0.3">
      <c r="B1" s="114" t="s">
        <v>0</v>
      </c>
      <c r="C1" s="115"/>
      <c r="D1" s="115"/>
      <c r="E1" s="115"/>
      <c r="F1" s="115"/>
      <c r="G1" s="115"/>
      <c r="H1" s="115"/>
      <c r="I1" s="115"/>
      <c r="J1" s="116"/>
    </row>
    <row r="2" spans="2:10" ht="15.75" thickBot="1" x14ac:dyDescent="0.3">
      <c r="B2" s="120" t="s">
        <v>1</v>
      </c>
      <c r="C2" s="121"/>
      <c r="D2" s="121"/>
      <c r="E2" s="121"/>
      <c r="F2" s="121"/>
      <c r="G2" s="121"/>
      <c r="H2" s="121"/>
      <c r="I2" s="121"/>
      <c r="J2" s="122"/>
    </row>
    <row r="3" spans="2:10" ht="21.75" thickBot="1" x14ac:dyDescent="0.3">
      <c r="B3" s="2"/>
      <c r="C3" s="129">
        <v>2021</v>
      </c>
      <c r="D3" s="151"/>
      <c r="E3" s="151"/>
      <c r="F3" s="130"/>
      <c r="G3" s="117"/>
      <c r="H3" s="118"/>
      <c r="I3" s="118"/>
      <c r="J3" s="119"/>
    </row>
    <row r="4" spans="2:10" ht="26.25" thickBot="1" x14ac:dyDescent="0.3">
      <c r="B4" s="113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104" t="s">
        <v>4</v>
      </c>
      <c r="H4" s="104" t="s">
        <v>5</v>
      </c>
      <c r="I4" s="104" t="s">
        <v>6</v>
      </c>
      <c r="J4" s="104" t="s">
        <v>7</v>
      </c>
    </row>
    <row r="5" spans="2:10" ht="18.75" customHeight="1" thickBot="1" x14ac:dyDescent="0.3">
      <c r="B5" s="6" t="s">
        <v>60</v>
      </c>
      <c r="C5" s="1"/>
      <c r="D5" s="1"/>
      <c r="E5" s="1"/>
      <c r="F5" s="1"/>
      <c r="G5" s="105"/>
      <c r="H5" s="105"/>
      <c r="I5" s="105"/>
      <c r="J5" s="105"/>
    </row>
    <row r="6" spans="2:10" ht="18.75" customHeight="1" thickBot="1" x14ac:dyDescent="0.3">
      <c r="B6" s="152" t="s">
        <v>9</v>
      </c>
      <c r="C6" s="8">
        <v>13.5</v>
      </c>
      <c r="D6" s="8">
        <v>10.67</v>
      </c>
      <c r="E6" s="8">
        <v>8.09</v>
      </c>
      <c r="F6" s="8">
        <v>6.87</v>
      </c>
      <c r="G6" s="106">
        <v>17.149999999999999</v>
      </c>
      <c r="H6" s="106">
        <v>14.27</v>
      </c>
      <c r="I6" s="106">
        <v>9.51</v>
      </c>
      <c r="J6" s="106">
        <v>7.12</v>
      </c>
    </row>
    <row r="7" spans="2:10" ht="18.75" customHeight="1" thickBot="1" x14ac:dyDescent="0.3">
      <c r="B7" s="11" t="s">
        <v>13</v>
      </c>
      <c r="C7" s="8">
        <v>0.1</v>
      </c>
      <c r="D7" s="8">
        <v>0.1</v>
      </c>
      <c r="E7" s="8">
        <v>0.1</v>
      </c>
      <c r="F7" s="8">
        <v>0.1</v>
      </c>
      <c r="G7" s="106">
        <v>0.2</v>
      </c>
      <c r="H7" s="106">
        <v>0.2</v>
      </c>
      <c r="I7" s="106">
        <v>0.2</v>
      </c>
      <c r="J7" s="106">
        <v>0.2</v>
      </c>
    </row>
    <row r="8" spans="2:10" ht="18.75" customHeight="1" thickBot="1" x14ac:dyDescent="0.3">
      <c r="B8" s="11" t="s">
        <v>15</v>
      </c>
      <c r="C8" s="8">
        <v>0.5</v>
      </c>
      <c r="D8" s="8">
        <v>0.5</v>
      </c>
      <c r="E8" s="8">
        <v>0.5</v>
      </c>
      <c r="F8" s="8">
        <v>0.5</v>
      </c>
      <c r="G8" s="106">
        <f>+C8*1.1534</f>
        <v>0.57669999999999999</v>
      </c>
      <c r="H8" s="106">
        <f>+D8*1.1534</f>
        <v>0.57669999999999999</v>
      </c>
      <c r="I8" s="106">
        <f>+E8*1.1534</f>
        <v>0.57669999999999999</v>
      </c>
      <c r="J8" s="106">
        <f>+F8*1.1534</f>
        <v>0.57669999999999999</v>
      </c>
    </row>
    <row r="9" spans="2:10" ht="18.75" customHeight="1" thickBot="1" x14ac:dyDescent="0.3">
      <c r="B9" s="11" t="s">
        <v>64</v>
      </c>
      <c r="C9" s="8">
        <v>0.5</v>
      </c>
      <c r="D9" s="8">
        <v>0.5</v>
      </c>
      <c r="E9" s="8">
        <v>0.5</v>
      </c>
      <c r="F9" s="8">
        <v>0.5</v>
      </c>
      <c r="G9" s="106">
        <f>+C9*1.1534</f>
        <v>0.57669999999999999</v>
      </c>
      <c r="H9" s="106">
        <f>+D9*1.1534</f>
        <v>0.57669999999999999</v>
      </c>
      <c r="I9" s="106">
        <f>+E9*1.1534</f>
        <v>0.57669999999999999</v>
      </c>
      <c r="J9" s="106">
        <f>+F9*1.1534</f>
        <v>0.57669999999999999</v>
      </c>
    </row>
    <row r="10" spans="2:10" ht="18.75" customHeight="1" thickBot="1" x14ac:dyDescent="0.3">
      <c r="B10" s="144" t="s">
        <v>10</v>
      </c>
      <c r="C10" s="153"/>
      <c r="D10" s="153"/>
      <c r="E10" s="153"/>
      <c r="F10" s="153"/>
      <c r="G10" s="105"/>
      <c r="H10" s="105"/>
      <c r="I10" s="105"/>
      <c r="J10" s="105"/>
    </row>
    <row r="11" spans="2:10" ht="18.75" customHeight="1" thickBot="1" x14ac:dyDescent="0.3">
      <c r="B11" s="11" t="s">
        <v>10</v>
      </c>
      <c r="C11" s="8">
        <v>10.199999999999999</v>
      </c>
      <c r="D11" s="8">
        <v>10.199999999999999</v>
      </c>
      <c r="E11" s="8">
        <v>10.199999999999999</v>
      </c>
      <c r="F11" s="8">
        <v>10.199999999999999</v>
      </c>
      <c r="G11" s="106">
        <f>+C11*1.1598</f>
        <v>11.829959999999998</v>
      </c>
      <c r="H11" s="106">
        <f>+D11*1.1598</f>
        <v>11.829959999999998</v>
      </c>
      <c r="I11" s="106">
        <f>+E11*1.1598</f>
        <v>11.829959999999998</v>
      </c>
      <c r="J11" s="106">
        <f>+F11*1.1598</f>
        <v>11.829959999999998</v>
      </c>
    </row>
    <row r="12" spans="2:10" ht="18.75" customHeight="1" thickBot="1" x14ac:dyDescent="0.3">
      <c r="B12" s="11" t="s">
        <v>70</v>
      </c>
      <c r="C12" s="8">
        <v>0.6</v>
      </c>
      <c r="D12" s="8">
        <v>0.6</v>
      </c>
      <c r="E12" s="8">
        <v>0.6</v>
      </c>
      <c r="F12" s="8">
        <v>0.6</v>
      </c>
      <c r="G12" s="106">
        <f>+C12*1.1534</f>
        <v>0.69203999999999999</v>
      </c>
      <c r="H12" s="106">
        <f>+D12*1.1534</f>
        <v>0.69203999999999999</v>
      </c>
      <c r="I12" s="106">
        <f>+E12*1.1534</f>
        <v>0.69203999999999999</v>
      </c>
      <c r="J12" s="106">
        <f>+F12*1.1534</f>
        <v>0.69203999999999999</v>
      </c>
    </row>
    <row r="13" spans="2:10" ht="18.75" customHeight="1" thickBot="1" x14ac:dyDescent="0.3">
      <c r="B13" s="144" t="s">
        <v>61</v>
      </c>
      <c r="C13" s="154"/>
      <c r="D13" s="153"/>
      <c r="E13" s="153"/>
      <c r="F13" s="153"/>
      <c r="G13" s="145"/>
      <c r="H13" s="107"/>
      <c r="I13" s="107"/>
      <c r="J13" s="107"/>
    </row>
    <row r="14" spans="2:10" ht="18.75" customHeight="1" thickBot="1" x14ac:dyDescent="0.3">
      <c r="B14" s="11" t="s">
        <v>12</v>
      </c>
      <c r="C14" s="8">
        <v>0.5</v>
      </c>
      <c r="D14" s="8">
        <v>0.5</v>
      </c>
      <c r="E14" s="8">
        <v>0.5</v>
      </c>
      <c r="F14" s="8">
        <v>0.5</v>
      </c>
      <c r="G14" s="106">
        <f>+C14*1.1534</f>
        <v>0.57669999999999999</v>
      </c>
      <c r="H14" s="106">
        <f>+D14*1.1534</f>
        <v>0.57669999999999999</v>
      </c>
      <c r="I14" s="106">
        <f>+E14*1.1534</f>
        <v>0.57669999999999999</v>
      </c>
      <c r="J14" s="106">
        <f>+F14*1.1534</f>
        <v>0.57669999999999999</v>
      </c>
    </row>
    <row r="15" spans="2:10" ht="18.75" customHeight="1" thickBot="1" x14ac:dyDescent="0.3">
      <c r="B15" s="146" t="s">
        <v>16</v>
      </c>
      <c r="C15" s="155">
        <f t="shared" ref="C15:J15" si="0">SUM(C6:C14)</f>
        <v>25.9</v>
      </c>
      <c r="D15" s="155">
        <f t="shared" si="0"/>
        <v>23.07</v>
      </c>
      <c r="E15" s="155">
        <f t="shared" si="0"/>
        <v>20.490000000000002</v>
      </c>
      <c r="F15" s="155">
        <f t="shared" si="0"/>
        <v>19.27</v>
      </c>
      <c r="G15" s="147">
        <f>SUM(G6:G14)</f>
        <v>31.602099999999989</v>
      </c>
      <c r="H15" s="147">
        <f t="shared" si="0"/>
        <v>28.722099999999994</v>
      </c>
      <c r="I15" s="147">
        <f t="shared" si="0"/>
        <v>23.962099999999996</v>
      </c>
      <c r="J15" s="147">
        <f t="shared" si="0"/>
        <v>21.572099999999995</v>
      </c>
    </row>
    <row r="16" spans="2:10" ht="18.75" customHeight="1" thickBot="1" x14ac:dyDescent="0.3">
      <c r="B16" s="148" t="s">
        <v>17</v>
      </c>
      <c r="C16" s="149"/>
      <c r="D16" s="149"/>
      <c r="E16" s="149"/>
      <c r="F16" s="149"/>
      <c r="G16" s="149"/>
      <c r="H16" s="149"/>
      <c r="I16" s="149"/>
      <c r="J16" s="150"/>
    </row>
    <row r="17" spans="2:10" ht="18.75" customHeight="1" thickBot="1" x14ac:dyDescent="0.3">
      <c r="B17" s="11" t="s">
        <v>18</v>
      </c>
      <c r="C17" s="8">
        <v>10</v>
      </c>
      <c r="D17" s="8">
        <v>10</v>
      </c>
      <c r="E17" s="8">
        <v>10</v>
      </c>
      <c r="F17" s="8">
        <v>10</v>
      </c>
      <c r="G17" s="106">
        <v>5.69</v>
      </c>
      <c r="H17" s="106">
        <v>5.69</v>
      </c>
      <c r="I17" s="106">
        <v>5.69</v>
      </c>
      <c r="J17" s="106">
        <v>5.69</v>
      </c>
    </row>
    <row r="18" spans="2:10" ht="18.75" customHeight="1" thickBot="1" x14ac:dyDescent="0.3">
      <c r="B18" s="11" t="s">
        <v>19</v>
      </c>
      <c r="C18" s="8">
        <f>5*24/365</f>
        <v>0.32876712328767121</v>
      </c>
      <c r="D18" s="156">
        <f t="shared" ref="D18:F18" si="1">5*24/365</f>
        <v>0.32876712328767121</v>
      </c>
      <c r="E18" s="156">
        <f t="shared" si="1"/>
        <v>0.32876712328767121</v>
      </c>
      <c r="F18" s="156">
        <f t="shared" si="1"/>
        <v>0.32876712328767121</v>
      </c>
      <c r="G18" s="106">
        <f>5*12/365</f>
        <v>0.16438356164383561</v>
      </c>
      <c r="H18" s="106">
        <f t="shared" ref="H18:J18" si="2">5*12/365</f>
        <v>0.16438356164383561</v>
      </c>
      <c r="I18" s="106">
        <f t="shared" si="2"/>
        <v>0.16438356164383561</v>
      </c>
      <c r="J18" s="106">
        <f t="shared" si="2"/>
        <v>0.16438356164383561</v>
      </c>
    </row>
    <row r="19" spans="2:10" ht="18.75" customHeight="1" thickBot="1" x14ac:dyDescent="0.3">
      <c r="B19" s="11" t="s">
        <v>20</v>
      </c>
      <c r="C19" s="8">
        <v>2.5</v>
      </c>
      <c r="D19" s="8">
        <v>2.5</v>
      </c>
      <c r="E19" s="8">
        <v>2.5</v>
      </c>
      <c r="F19" s="8">
        <v>2.5</v>
      </c>
      <c r="G19" s="106">
        <v>2.5</v>
      </c>
      <c r="H19" s="106">
        <v>2.5</v>
      </c>
      <c r="I19" s="106">
        <v>2.5</v>
      </c>
      <c r="J19" s="106">
        <v>2.5</v>
      </c>
    </row>
    <row r="20" spans="2:10" ht="18.75" customHeight="1" thickBot="1" x14ac:dyDescent="0.3">
      <c r="B20" s="11" t="s">
        <v>21</v>
      </c>
      <c r="C20" s="8">
        <v>0.15</v>
      </c>
      <c r="D20" s="8">
        <v>0.15</v>
      </c>
      <c r="E20" s="8">
        <v>0.15</v>
      </c>
      <c r="F20" s="8">
        <v>0.15</v>
      </c>
      <c r="G20" s="106">
        <f>+C20*1.1534</f>
        <v>0.17301</v>
      </c>
      <c r="H20" s="106">
        <f>+D20*1.1534</f>
        <v>0.17301</v>
      </c>
      <c r="I20" s="106">
        <f>+E20*1.1534</f>
        <v>0.17301</v>
      </c>
      <c r="J20" s="106">
        <f>+F20*1.1534</f>
        <v>0.17301</v>
      </c>
    </row>
    <row r="21" spans="2:10" ht="24" customHeight="1" thickBot="1" x14ac:dyDescent="0.3">
      <c r="B21" s="11" t="s">
        <v>65</v>
      </c>
      <c r="C21" s="8">
        <v>1.37</v>
      </c>
      <c r="D21" s="8">
        <v>1.37</v>
      </c>
      <c r="E21" s="8">
        <v>1.37</v>
      </c>
      <c r="F21" s="8">
        <v>1.37</v>
      </c>
      <c r="G21" s="106">
        <v>1.37</v>
      </c>
      <c r="H21" s="106">
        <v>1.37</v>
      </c>
      <c r="I21" s="106">
        <v>1.37</v>
      </c>
      <c r="J21" s="106">
        <v>1.37</v>
      </c>
    </row>
    <row r="22" spans="2:10" ht="18.75" customHeight="1" thickBot="1" x14ac:dyDescent="0.3">
      <c r="B22" s="11"/>
      <c r="C22" s="60">
        <v>2021</v>
      </c>
      <c r="D22" s="61"/>
      <c r="E22" s="61"/>
      <c r="F22" s="62"/>
      <c r="G22" s="108"/>
      <c r="H22" s="109"/>
      <c r="I22" s="109"/>
      <c r="J22" s="110"/>
    </row>
    <row r="23" spans="2:10" ht="18.75" customHeight="1" thickBot="1" x14ac:dyDescent="0.3">
      <c r="B23" s="16" t="s">
        <v>22</v>
      </c>
      <c r="C23" s="17">
        <f>SUM(C15,C17:C21)</f>
        <v>40.248767123287664</v>
      </c>
      <c r="D23" s="17">
        <f t="shared" ref="D23:J23" si="3">SUM(D15,D17:D21)</f>
        <v>37.418767123287665</v>
      </c>
      <c r="E23" s="17">
        <f t="shared" si="3"/>
        <v>34.838767123287667</v>
      </c>
      <c r="F23" s="17">
        <f t="shared" si="3"/>
        <v>33.618767123287668</v>
      </c>
      <c r="G23" s="157">
        <f>SUM(G15,G17:G21)</f>
        <v>41.499493561643824</v>
      </c>
      <c r="H23" s="157">
        <f t="shared" si="3"/>
        <v>38.619493561643829</v>
      </c>
      <c r="I23" s="157">
        <f t="shared" si="3"/>
        <v>33.859493561643831</v>
      </c>
      <c r="J23" s="157">
        <f t="shared" si="3"/>
        <v>31.469493561643834</v>
      </c>
    </row>
    <row r="24" spans="2:10" ht="24" customHeight="1" thickBot="1" x14ac:dyDescent="0.3">
      <c r="B24" s="158" t="s">
        <v>91</v>
      </c>
      <c r="C24" s="159"/>
      <c r="D24" s="159"/>
      <c r="E24" s="159"/>
      <c r="F24" s="159"/>
      <c r="G24" s="159"/>
      <c r="H24" s="159"/>
      <c r="I24" s="159"/>
      <c r="J24" s="160"/>
    </row>
    <row r="25" spans="2:10" ht="30" customHeight="1" thickBot="1" x14ac:dyDescent="0.3">
      <c r="B25" s="63" t="s">
        <v>92</v>
      </c>
      <c r="C25" s="64"/>
      <c r="D25" s="64"/>
      <c r="E25" s="64"/>
      <c r="F25" s="64"/>
      <c r="G25" s="64"/>
      <c r="H25" s="64"/>
      <c r="I25" s="64"/>
      <c r="J25" s="65"/>
    </row>
    <row r="26" spans="2:10" ht="18.75" customHeight="1" x14ac:dyDescent="0.25"/>
    <row r="27" spans="2:10" ht="18.75" customHeight="1" x14ac:dyDescent="0.25"/>
    <row r="28" spans="2:10" ht="18.75" customHeight="1" x14ac:dyDescent="0.25"/>
    <row r="29" spans="2:10" ht="18.75" customHeight="1" x14ac:dyDescent="0.25"/>
    <row r="30" spans="2:10" ht="18.75" customHeight="1" x14ac:dyDescent="0.25"/>
    <row r="31" spans="2:10" ht="18.75" customHeight="1" x14ac:dyDescent="0.25"/>
    <row r="32" spans="2:10" ht="18.75" customHeight="1" x14ac:dyDescent="0.25"/>
    <row r="33" ht="18.75" customHeight="1" x14ac:dyDescent="0.25"/>
    <row r="34" ht="18.75" customHeight="1" x14ac:dyDescent="0.25"/>
  </sheetData>
  <mergeCells count="9">
    <mergeCell ref="C22:F22"/>
    <mergeCell ref="G22:J22"/>
    <mergeCell ref="B24:J24"/>
    <mergeCell ref="B25:J25"/>
    <mergeCell ref="B1:J1"/>
    <mergeCell ref="B2:J2"/>
    <mergeCell ref="C3:F3"/>
    <mergeCell ref="G3:J3"/>
    <mergeCell ref="B16:J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workbookViewId="0">
      <selection activeCell="B1" sqref="B1:F27"/>
    </sheetView>
  </sheetViews>
  <sheetFormatPr defaultRowHeight="15" x14ac:dyDescent="0.25"/>
  <cols>
    <col min="1" max="1" width="3.42578125" customWidth="1"/>
    <col min="2" max="2" width="82.28515625" bestFit="1" customWidth="1"/>
    <col min="3" max="6" width="9.140625" style="112"/>
  </cols>
  <sheetData>
    <row r="1" spans="2:6" ht="16.5" thickBot="1" x14ac:dyDescent="0.3">
      <c r="B1" s="114" t="s">
        <v>59</v>
      </c>
      <c r="C1" s="115"/>
      <c r="D1" s="115"/>
      <c r="E1" s="115"/>
      <c r="F1" s="116"/>
    </row>
    <row r="2" spans="2:6" ht="15.75" thickBot="1" x14ac:dyDescent="0.3">
      <c r="B2" s="120" t="s">
        <v>1</v>
      </c>
      <c r="C2" s="121"/>
      <c r="D2" s="121"/>
      <c r="E2" s="121"/>
      <c r="F2" s="122"/>
    </row>
    <row r="3" spans="2:6" ht="21.75" thickBot="1" x14ac:dyDescent="0.3">
      <c r="B3" s="2"/>
      <c r="C3" s="117"/>
      <c r="D3" s="118"/>
      <c r="E3" s="118"/>
      <c r="F3" s="119"/>
    </row>
    <row r="4" spans="2:6" ht="26.25" thickBot="1" x14ac:dyDescent="0.3">
      <c r="B4" s="113" t="s">
        <v>3</v>
      </c>
      <c r="C4" s="104" t="s">
        <v>4</v>
      </c>
      <c r="D4" s="104" t="s">
        <v>5</v>
      </c>
      <c r="E4" s="104" t="s">
        <v>6</v>
      </c>
      <c r="F4" s="104" t="s">
        <v>7</v>
      </c>
    </row>
    <row r="5" spans="2:6" ht="18.75" customHeight="1" thickBot="1" x14ac:dyDescent="0.3">
      <c r="B5" s="6" t="s">
        <v>60</v>
      </c>
      <c r="C5" s="105"/>
      <c r="D5" s="105"/>
      <c r="E5" s="105"/>
      <c r="F5" s="105"/>
    </row>
    <row r="6" spans="2:6" ht="18.75" customHeight="1" thickBot="1" x14ac:dyDescent="0.3">
      <c r="B6" s="7" t="s">
        <v>9</v>
      </c>
      <c r="C6" s="106">
        <v>15.03</v>
      </c>
      <c r="D6" s="106">
        <v>12.4</v>
      </c>
      <c r="E6" s="106">
        <v>8.19</v>
      </c>
      <c r="F6" s="106">
        <v>5.88</v>
      </c>
    </row>
    <row r="7" spans="2:6" ht="18.75" customHeight="1" thickBot="1" x14ac:dyDescent="0.3">
      <c r="B7" s="11" t="s">
        <v>13</v>
      </c>
      <c r="C7" s="106">
        <v>0.2</v>
      </c>
      <c r="D7" s="106">
        <v>0.2</v>
      </c>
      <c r="E7" s="106">
        <v>0.2</v>
      </c>
      <c r="F7" s="106">
        <v>0.2</v>
      </c>
    </row>
    <row r="8" spans="2:6" ht="18.75" customHeight="1" thickBot="1" x14ac:dyDescent="0.3">
      <c r="B8" s="11" t="s">
        <v>84</v>
      </c>
      <c r="C8" s="106">
        <f t="shared" ref="C8:D8" si="0">4.43/4784*3780</f>
        <v>3.5002926421404679</v>
      </c>
      <c r="D8" s="106">
        <f t="shared" si="0"/>
        <v>3.5002926421404679</v>
      </c>
      <c r="E8" s="106">
        <f t="shared" ref="E8:F8" si="1">3.7/4784*3780</f>
        <v>2.9234949832775921</v>
      </c>
      <c r="F8" s="106">
        <f t="shared" si="1"/>
        <v>2.9234949832775921</v>
      </c>
    </row>
    <row r="9" spans="2:6" ht="18.75" customHeight="1" thickBot="1" x14ac:dyDescent="0.3">
      <c r="B9" s="11" t="s">
        <v>15</v>
      </c>
      <c r="C9" s="106">
        <v>0.57999999999999996</v>
      </c>
      <c r="D9" s="106">
        <v>0.57999999999999996</v>
      </c>
      <c r="E9" s="106">
        <v>0.57999999999999996</v>
      </c>
      <c r="F9" s="106">
        <v>0.57999999999999996</v>
      </c>
    </row>
    <row r="10" spans="2:6" ht="18.75" customHeight="1" thickBot="1" x14ac:dyDescent="0.3">
      <c r="B10" s="11" t="s">
        <v>64</v>
      </c>
      <c r="C10" s="106">
        <v>0.57999999999999996</v>
      </c>
      <c r="D10" s="106">
        <v>0.57999999999999996</v>
      </c>
      <c r="E10" s="106">
        <v>0.57999999999999996</v>
      </c>
      <c r="F10" s="106">
        <v>0.57999999999999996</v>
      </c>
    </row>
    <row r="11" spans="2:6" ht="18.75" customHeight="1" thickBot="1" x14ac:dyDescent="0.3">
      <c r="B11" s="144" t="s">
        <v>10</v>
      </c>
      <c r="C11" s="145"/>
      <c r="D11" s="107"/>
      <c r="E11" s="107"/>
      <c r="F11" s="107"/>
    </row>
    <row r="12" spans="2:6" ht="18.75" customHeight="1" thickBot="1" x14ac:dyDescent="0.3">
      <c r="B12" s="11" t="s">
        <v>10</v>
      </c>
      <c r="C12" s="106">
        <f>11.76/11531*11598</f>
        <v>11.828330587112999</v>
      </c>
      <c r="D12" s="106">
        <f t="shared" ref="D12:F12" si="2">11.76/11531*11598</f>
        <v>11.828330587112999</v>
      </c>
      <c r="E12" s="106">
        <f t="shared" si="2"/>
        <v>11.828330587112999</v>
      </c>
      <c r="F12" s="106">
        <f t="shared" si="2"/>
        <v>11.828330587112999</v>
      </c>
    </row>
    <row r="13" spans="2:6" ht="18.75" customHeight="1" thickBot="1" x14ac:dyDescent="0.3">
      <c r="B13" s="11" t="s">
        <v>70</v>
      </c>
      <c r="C13" s="106">
        <v>0.69</v>
      </c>
      <c r="D13" s="106">
        <v>0.69</v>
      </c>
      <c r="E13" s="106">
        <v>0.69</v>
      </c>
      <c r="F13" s="106">
        <v>0.69</v>
      </c>
    </row>
    <row r="14" spans="2:6" ht="18.75" customHeight="1" thickBot="1" x14ac:dyDescent="0.3">
      <c r="B14" s="144" t="s">
        <v>61</v>
      </c>
      <c r="C14" s="145"/>
      <c r="D14" s="107"/>
      <c r="E14" s="107"/>
      <c r="F14" s="107"/>
    </row>
    <row r="15" spans="2:6" ht="18.75" customHeight="1" thickBot="1" x14ac:dyDescent="0.3">
      <c r="B15" s="11" t="s">
        <v>12</v>
      </c>
      <c r="C15" s="106">
        <v>0.57999999999999996</v>
      </c>
      <c r="D15" s="106">
        <v>0.57999999999999996</v>
      </c>
      <c r="E15" s="106">
        <v>0.57999999999999996</v>
      </c>
      <c r="F15" s="106">
        <v>0.57999999999999996</v>
      </c>
    </row>
    <row r="16" spans="2:6" ht="18.75" customHeight="1" thickBot="1" x14ac:dyDescent="0.3">
      <c r="B16" s="146" t="s">
        <v>16</v>
      </c>
      <c r="C16" s="147">
        <f>SUM(C6:C15)</f>
        <v>32.988623229253456</v>
      </c>
      <c r="D16" s="147">
        <f>SUM(D6:D15)</f>
        <v>30.358623229253464</v>
      </c>
      <c r="E16" s="147">
        <f>SUM(E6:E15)</f>
        <v>25.57182557039059</v>
      </c>
      <c r="F16" s="147">
        <f>SUM(F6:F15)</f>
        <v>23.261825570390592</v>
      </c>
    </row>
    <row r="17" spans="2:6" ht="18.75" customHeight="1" thickBot="1" x14ac:dyDescent="0.3">
      <c r="B17" s="148" t="s">
        <v>17</v>
      </c>
      <c r="C17" s="149"/>
      <c r="D17" s="149"/>
      <c r="E17" s="149"/>
      <c r="F17" s="150"/>
    </row>
    <row r="18" spans="2:6" ht="18.75" customHeight="1" thickBot="1" x14ac:dyDescent="0.3">
      <c r="B18" s="11" t="s">
        <v>44</v>
      </c>
      <c r="C18" s="106">
        <f>172*12/365/1.14667*1.1534</f>
        <v>5.6879834651643453</v>
      </c>
      <c r="D18" s="106">
        <f t="shared" ref="D18:F18" si="3">172*12/365/1.14667*1.1534</f>
        <v>5.6879834651643453</v>
      </c>
      <c r="E18" s="106">
        <f t="shared" si="3"/>
        <v>5.6879834651643453</v>
      </c>
      <c r="F18" s="106">
        <f t="shared" si="3"/>
        <v>5.6879834651643453</v>
      </c>
    </row>
    <row r="19" spans="2:6" ht="18.75" customHeight="1" thickBot="1" x14ac:dyDescent="0.3">
      <c r="B19" s="11" t="s">
        <v>45</v>
      </c>
      <c r="C19" s="106">
        <f>5*12/365</f>
        <v>0.16438356164383561</v>
      </c>
      <c r="D19" s="106">
        <f t="shared" ref="D19:F19" si="4">5*12/365</f>
        <v>0.16438356164383561</v>
      </c>
      <c r="E19" s="106">
        <f t="shared" si="4"/>
        <v>0.16438356164383561</v>
      </c>
      <c r="F19" s="106">
        <f t="shared" si="4"/>
        <v>0.16438356164383561</v>
      </c>
    </row>
    <row r="20" spans="2:6" ht="18.75" customHeight="1" thickBot="1" x14ac:dyDescent="0.3">
      <c r="B20" s="11" t="s">
        <v>20</v>
      </c>
      <c r="C20" s="106">
        <v>2.5</v>
      </c>
      <c r="D20" s="106">
        <v>2.5</v>
      </c>
      <c r="E20" s="106">
        <v>2.5</v>
      </c>
      <c r="F20" s="106">
        <v>2.5</v>
      </c>
    </row>
    <row r="21" spans="2:6" ht="18.75" customHeight="1" thickBot="1" x14ac:dyDescent="0.3">
      <c r="B21" s="11" t="s">
        <v>21</v>
      </c>
      <c r="C21" s="106">
        <v>0.17</v>
      </c>
      <c r="D21" s="106">
        <v>0.17</v>
      </c>
      <c r="E21" s="106">
        <v>0.17</v>
      </c>
      <c r="F21" s="106">
        <v>0.17</v>
      </c>
    </row>
    <row r="22" spans="2:6" ht="25.5" customHeight="1" thickBot="1" x14ac:dyDescent="0.3">
      <c r="B22" s="11" t="s">
        <v>66</v>
      </c>
      <c r="C22" s="106">
        <v>1.37</v>
      </c>
      <c r="D22" s="106">
        <v>1.37</v>
      </c>
      <c r="E22" s="106">
        <v>1.37</v>
      </c>
      <c r="F22" s="106">
        <v>1.37</v>
      </c>
    </row>
    <row r="23" spans="2:6" ht="18.75" customHeight="1" thickBot="1" x14ac:dyDescent="0.3">
      <c r="B23" s="11"/>
      <c r="C23" s="108"/>
      <c r="D23" s="109"/>
      <c r="E23" s="109"/>
      <c r="F23" s="110"/>
    </row>
    <row r="24" spans="2:6" ht="18.75" customHeight="1" thickBot="1" x14ac:dyDescent="0.3">
      <c r="B24" s="16" t="s">
        <v>22</v>
      </c>
      <c r="C24" s="111">
        <f>SUM(C16,C18:C22)</f>
        <v>42.880990256061637</v>
      </c>
      <c r="D24" s="111">
        <f t="shared" ref="D24:F24" si="5">SUM(D16,D18:D22)</f>
        <v>40.250990256061648</v>
      </c>
      <c r="E24" s="111">
        <f t="shared" si="5"/>
        <v>35.464192597198767</v>
      </c>
      <c r="F24" s="111">
        <f t="shared" si="5"/>
        <v>33.154192597198772</v>
      </c>
    </row>
    <row r="25" spans="2:6" ht="18.75" customHeight="1" thickBot="1" x14ac:dyDescent="0.3">
      <c r="B25" s="71" t="s">
        <v>87</v>
      </c>
      <c r="C25" s="72"/>
      <c r="D25" s="72"/>
      <c r="E25" s="72"/>
      <c r="F25" s="73"/>
    </row>
    <row r="26" spans="2:6" ht="21" customHeight="1" thickBot="1" x14ac:dyDescent="0.3">
      <c r="B26" s="158" t="s">
        <v>104</v>
      </c>
      <c r="C26" s="159"/>
      <c r="D26" s="159"/>
      <c r="E26" s="159"/>
      <c r="F26" s="160"/>
    </row>
    <row r="27" spans="2:6" ht="28.5" customHeight="1" thickBot="1" x14ac:dyDescent="0.3">
      <c r="B27" s="63" t="s">
        <v>86</v>
      </c>
      <c r="C27" s="64"/>
      <c r="D27" s="64"/>
      <c r="E27" s="64"/>
      <c r="F27" s="65"/>
    </row>
    <row r="28" spans="2:6" ht="18.75" customHeight="1" x14ac:dyDescent="0.25"/>
    <row r="29" spans="2:6" ht="18.75" customHeight="1" x14ac:dyDescent="0.25"/>
    <row r="30" spans="2:6" ht="18.75" customHeight="1" x14ac:dyDescent="0.25"/>
    <row r="31" spans="2:6" ht="18.75" customHeight="1" x14ac:dyDescent="0.25"/>
    <row r="32" spans="2:6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</sheetData>
  <mergeCells count="8">
    <mergeCell ref="C23:F23"/>
    <mergeCell ref="B26:F26"/>
    <mergeCell ref="B27:F27"/>
    <mergeCell ref="B1:F1"/>
    <mergeCell ref="B2:F2"/>
    <mergeCell ref="C3:F3"/>
    <mergeCell ref="B17:F17"/>
    <mergeCell ref="B25:F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tabSelected="1" topLeftCell="A16" zoomScale="80" zoomScaleNormal="80" workbookViewId="0">
      <selection activeCell="B24" sqref="B1:G24"/>
    </sheetView>
  </sheetViews>
  <sheetFormatPr defaultRowHeight="15" x14ac:dyDescent="0.25"/>
  <cols>
    <col min="1" max="1" width="3" customWidth="1"/>
    <col min="2" max="2" width="57.5703125" customWidth="1"/>
    <col min="3" max="3" width="13.7109375" hidden="1" customWidth="1"/>
    <col min="4" max="4" width="25" hidden="1" customWidth="1"/>
    <col min="5" max="7" width="16.85546875" style="128" customWidth="1"/>
  </cols>
  <sheetData>
    <row r="1" spans="2:7" ht="16.5" thickBot="1" x14ac:dyDescent="0.3">
      <c r="B1" s="114" t="s">
        <v>23</v>
      </c>
      <c r="C1" s="115"/>
      <c r="D1" s="115"/>
      <c r="E1" s="115"/>
      <c r="F1" s="115"/>
      <c r="G1" s="116"/>
    </row>
    <row r="2" spans="2:7" ht="15.75" thickBot="1" x14ac:dyDescent="0.3">
      <c r="B2" s="120" t="s">
        <v>1</v>
      </c>
      <c r="C2" s="121"/>
      <c r="D2" s="121"/>
      <c r="E2" s="121"/>
      <c r="F2" s="121"/>
      <c r="G2" s="122"/>
    </row>
    <row r="3" spans="2:7" ht="21.75" thickBot="1" x14ac:dyDescent="0.3">
      <c r="B3" s="3"/>
      <c r="C3" s="129"/>
      <c r="D3" s="130"/>
      <c r="E3" s="131"/>
      <c r="F3" s="132"/>
      <c r="G3" s="133"/>
    </row>
    <row r="4" spans="2:7" ht="25.5" customHeight="1" thickBot="1" x14ac:dyDescent="0.3">
      <c r="B4" s="113" t="s">
        <v>3</v>
      </c>
      <c r="C4" s="4" t="s">
        <v>24</v>
      </c>
      <c r="D4" s="5" t="s">
        <v>6</v>
      </c>
      <c r="E4" s="123" t="s">
        <v>57</v>
      </c>
      <c r="F4" s="123" t="s">
        <v>58</v>
      </c>
      <c r="G4" s="123" t="s">
        <v>6</v>
      </c>
    </row>
    <row r="5" spans="2:7" ht="25.5" customHeight="1" thickBot="1" x14ac:dyDescent="0.3">
      <c r="B5" s="6" t="s">
        <v>60</v>
      </c>
      <c r="C5" s="1"/>
      <c r="D5" s="1"/>
      <c r="E5" s="124"/>
      <c r="F5" s="124"/>
      <c r="G5" s="124"/>
    </row>
    <row r="6" spans="2:7" ht="25.5" customHeight="1" thickBot="1" x14ac:dyDescent="0.3">
      <c r="B6" s="7" t="s">
        <v>9</v>
      </c>
      <c r="C6" s="8">
        <v>28.1</v>
      </c>
      <c r="D6" s="8">
        <v>19.7</v>
      </c>
      <c r="E6" s="125">
        <v>67.55</v>
      </c>
      <c r="F6" s="125">
        <v>40.08</v>
      </c>
      <c r="G6" s="125">
        <v>27.79</v>
      </c>
    </row>
    <row r="7" spans="2:7" ht="25.5" customHeight="1" thickBot="1" x14ac:dyDescent="0.3">
      <c r="B7" s="9" t="s">
        <v>15</v>
      </c>
      <c r="C7" s="10">
        <v>0.5</v>
      </c>
      <c r="D7" s="10">
        <v>0.5</v>
      </c>
      <c r="E7" s="125">
        <f>+C7*1.1534</f>
        <v>0.57669999999999999</v>
      </c>
      <c r="F7" s="125">
        <f>+C7*1.1534</f>
        <v>0.57669999999999999</v>
      </c>
      <c r="G7" s="125">
        <f>+D7*1.1534</f>
        <v>0.57669999999999999</v>
      </c>
    </row>
    <row r="8" spans="2:7" ht="25.5" customHeight="1" thickBot="1" x14ac:dyDescent="0.3">
      <c r="B8" s="9" t="s">
        <v>64</v>
      </c>
      <c r="C8" s="10">
        <v>0.5</v>
      </c>
      <c r="D8" s="10">
        <v>0.5</v>
      </c>
      <c r="E8" s="125">
        <f t="shared" ref="E8:E9" si="0">+C8*1.1534</f>
        <v>0.57669999999999999</v>
      </c>
      <c r="F8" s="125">
        <f t="shared" ref="F8:F9" si="1">+C8*1.1534</f>
        <v>0.57669999999999999</v>
      </c>
      <c r="G8" s="125">
        <f t="shared" ref="G8:G9" si="2">+D8*1.1534</f>
        <v>0.57669999999999999</v>
      </c>
    </row>
    <row r="9" spans="2:7" ht="25.5" customHeight="1" thickBot="1" x14ac:dyDescent="0.3">
      <c r="B9" s="9" t="s">
        <v>25</v>
      </c>
      <c r="C9" s="10">
        <v>0.4</v>
      </c>
      <c r="D9" s="10">
        <v>0.4</v>
      </c>
      <c r="E9" s="125">
        <f t="shared" si="0"/>
        <v>0.46135999999999999</v>
      </c>
      <c r="F9" s="125">
        <f t="shared" si="1"/>
        <v>0.46135999999999999</v>
      </c>
      <c r="G9" s="125">
        <f t="shared" si="2"/>
        <v>0.46135999999999999</v>
      </c>
    </row>
    <row r="10" spans="2:7" ht="25.5" customHeight="1" thickBot="1" x14ac:dyDescent="0.3">
      <c r="B10" s="12" t="s">
        <v>10</v>
      </c>
      <c r="C10" s="13"/>
      <c r="D10" s="1"/>
      <c r="E10" s="124"/>
      <c r="F10" s="124"/>
      <c r="G10" s="126"/>
    </row>
    <row r="11" spans="2:7" ht="25.5" customHeight="1" thickBot="1" x14ac:dyDescent="0.3">
      <c r="B11" s="9" t="s">
        <v>10</v>
      </c>
      <c r="C11" s="10">
        <v>10.199999999999999</v>
      </c>
      <c r="D11" s="10">
        <v>10.199999999999999</v>
      </c>
      <c r="E11" s="125">
        <f>+C11*1.1598</f>
        <v>11.829959999999998</v>
      </c>
      <c r="F11" s="125">
        <f>+C11*1.1598</f>
        <v>11.829959999999998</v>
      </c>
      <c r="G11" s="125">
        <f>+D11*1.1598</f>
        <v>11.829959999999998</v>
      </c>
    </row>
    <row r="12" spans="2:7" ht="25.5" customHeight="1" thickBot="1" x14ac:dyDescent="0.3">
      <c r="B12" s="48" t="s">
        <v>67</v>
      </c>
      <c r="C12" s="8">
        <v>0.6</v>
      </c>
      <c r="D12" s="8">
        <v>0.6</v>
      </c>
      <c r="E12" s="125">
        <f>+C12*1.1534</f>
        <v>0.69203999999999999</v>
      </c>
      <c r="F12" s="125">
        <f>+C12*1.1534</f>
        <v>0.69203999999999999</v>
      </c>
      <c r="G12" s="125">
        <f>+D12*1.1534</f>
        <v>0.69203999999999999</v>
      </c>
    </row>
    <row r="13" spans="2:7" ht="25.5" customHeight="1" thickBot="1" x14ac:dyDescent="0.3">
      <c r="B13" s="12" t="s">
        <v>61</v>
      </c>
      <c r="C13" s="13"/>
      <c r="D13" s="1"/>
      <c r="E13" s="124"/>
      <c r="F13" s="124"/>
      <c r="G13" s="126"/>
    </row>
    <row r="14" spans="2:7" ht="25.5" customHeight="1" thickBot="1" x14ac:dyDescent="0.3">
      <c r="B14" s="9" t="s">
        <v>12</v>
      </c>
      <c r="C14" s="10">
        <v>1</v>
      </c>
      <c r="D14" s="10">
        <v>1</v>
      </c>
      <c r="E14" s="125">
        <f>+C14*1.1534</f>
        <v>1.1534</v>
      </c>
      <c r="F14" s="125">
        <f>+C14*1.1534</f>
        <v>1.1534</v>
      </c>
      <c r="G14" s="125">
        <f>+D14*1.1534</f>
        <v>1.1534</v>
      </c>
    </row>
    <row r="15" spans="2:7" ht="25.5" customHeight="1" thickBot="1" x14ac:dyDescent="0.3">
      <c r="B15" s="14" t="s">
        <v>16</v>
      </c>
      <c r="C15" s="15">
        <f>SUM(C6:C14)</f>
        <v>41.300000000000004</v>
      </c>
      <c r="D15" s="15">
        <f>SUM(D6:D14)</f>
        <v>32.9</v>
      </c>
      <c r="E15" s="134">
        <f>SUM(E6:E14)</f>
        <v>82.840160000000012</v>
      </c>
      <c r="F15" s="134">
        <f>SUM(F6:F14)</f>
        <v>55.370159999999998</v>
      </c>
      <c r="G15" s="134">
        <f>SUM(G6:G14)</f>
        <v>43.080159999999992</v>
      </c>
    </row>
    <row r="16" spans="2:7" ht="25.5" customHeight="1" thickBot="1" x14ac:dyDescent="0.3">
      <c r="B16" s="68" t="s">
        <v>17</v>
      </c>
      <c r="C16" s="69"/>
      <c r="D16" s="69"/>
      <c r="E16" s="69"/>
      <c r="F16" s="69"/>
      <c r="G16" s="70"/>
    </row>
    <row r="17" spans="2:7" ht="25.5" customHeight="1" thickBot="1" x14ac:dyDescent="0.3">
      <c r="B17" s="9" t="s">
        <v>18</v>
      </c>
      <c r="C17" s="8">
        <f>150*3/365</f>
        <v>1.2328767123287672</v>
      </c>
      <c r="D17" s="8">
        <f>150*3/365</f>
        <v>1.2328767123287672</v>
      </c>
      <c r="E17" s="135">
        <v>1.9</v>
      </c>
      <c r="F17" s="136">
        <v>1.9</v>
      </c>
      <c r="G17" s="136">
        <v>1.9</v>
      </c>
    </row>
    <row r="18" spans="2:7" ht="25.5" customHeight="1" thickBot="1" x14ac:dyDescent="0.3">
      <c r="B18" s="9" t="s">
        <v>19</v>
      </c>
      <c r="C18" s="18">
        <v>2.7E-2</v>
      </c>
      <c r="D18" s="18">
        <v>2.7E-2</v>
      </c>
      <c r="E18" s="137">
        <f>5*2/365</f>
        <v>2.7397260273972601E-2</v>
      </c>
      <c r="F18" s="138">
        <f>5*2/365</f>
        <v>2.7397260273972601E-2</v>
      </c>
      <c r="G18" s="138">
        <f>5*2/365</f>
        <v>2.7397260273972601E-2</v>
      </c>
    </row>
    <row r="19" spans="2:7" ht="25.5" customHeight="1" thickBot="1" x14ac:dyDescent="0.3">
      <c r="B19" s="9" t="s">
        <v>20</v>
      </c>
      <c r="C19" s="10">
        <v>2.5</v>
      </c>
      <c r="D19" s="10">
        <v>2.5</v>
      </c>
      <c r="E19" s="139">
        <v>2.5</v>
      </c>
      <c r="F19" s="125">
        <v>2.5</v>
      </c>
      <c r="G19" s="125">
        <v>2.5</v>
      </c>
    </row>
    <row r="20" spans="2:7" ht="40.5" customHeight="1" thickBot="1" x14ac:dyDescent="0.3">
      <c r="B20" s="11" t="s">
        <v>68</v>
      </c>
      <c r="C20" s="17">
        <v>1.37</v>
      </c>
      <c r="D20" s="17">
        <v>1.37</v>
      </c>
      <c r="E20" s="140">
        <v>1.37</v>
      </c>
      <c r="F20" s="126">
        <v>1.37</v>
      </c>
      <c r="G20" s="126">
        <v>1.37</v>
      </c>
    </row>
    <row r="21" spans="2:7" ht="25.5" customHeight="1" thickBot="1" x14ac:dyDescent="0.3">
      <c r="B21" s="16" t="s">
        <v>22</v>
      </c>
      <c r="C21" s="80">
        <v>2021</v>
      </c>
      <c r="D21" s="81"/>
      <c r="E21" s="141"/>
      <c r="F21" s="142"/>
      <c r="G21" s="143"/>
    </row>
    <row r="22" spans="2:7" ht="37.5" customHeight="1" thickBot="1" x14ac:dyDescent="0.3">
      <c r="B22" s="11"/>
      <c r="C22" s="20">
        <f>SUM(C15,C17:C20)</f>
        <v>46.42987671232877</v>
      </c>
      <c r="D22" s="20">
        <f t="shared" ref="D22:G22" si="3">SUM(D15,D17:D20)</f>
        <v>38.029876712328765</v>
      </c>
      <c r="E22" s="127">
        <f t="shared" si="3"/>
        <v>88.637557260273994</v>
      </c>
      <c r="F22" s="127">
        <f t="shared" si="3"/>
        <v>61.167557260273966</v>
      </c>
      <c r="G22" s="127">
        <f t="shared" si="3"/>
        <v>48.87755726027396</v>
      </c>
    </row>
    <row r="23" spans="2:7" ht="31.5" customHeight="1" thickBot="1" x14ac:dyDescent="0.3">
      <c r="B23" s="74" t="s">
        <v>88</v>
      </c>
      <c r="C23" s="75"/>
      <c r="D23" s="75"/>
      <c r="E23" s="75"/>
      <c r="F23" s="75"/>
      <c r="G23" s="76"/>
    </row>
    <row r="24" spans="2:7" ht="35.25" customHeight="1" thickBot="1" x14ac:dyDescent="0.3">
      <c r="B24" s="77" t="s">
        <v>69</v>
      </c>
      <c r="C24" s="78"/>
      <c r="D24" s="78"/>
      <c r="E24" s="78"/>
      <c r="F24" s="78"/>
      <c r="G24" s="79"/>
    </row>
    <row r="25" spans="2:7" ht="50.25" customHeight="1" x14ac:dyDescent="0.25">
      <c r="B25" s="19"/>
    </row>
  </sheetData>
  <mergeCells count="9">
    <mergeCell ref="C3:D3"/>
    <mergeCell ref="E3:G3"/>
    <mergeCell ref="B1:G1"/>
    <mergeCell ref="B2:G2"/>
    <mergeCell ref="B23:G23"/>
    <mergeCell ref="B24:G24"/>
    <mergeCell ref="B16:G16"/>
    <mergeCell ref="C21:D21"/>
    <mergeCell ref="E21:G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0"/>
  <sheetViews>
    <sheetView topLeftCell="A22" zoomScaleNormal="100" workbookViewId="0">
      <selection activeCell="G30" sqref="B1:G30"/>
    </sheetView>
  </sheetViews>
  <sheetFormatPr defaultRowHeight="15" x14ac:dyDescent="0.25"/>
  <cols>
    <col min="1" max="1" width="2.85546875" style="177" customWidth="1"/>
    <col min="2" max="2" width="9.140625" style="177"/>
    <col min="3" max="3" width="45.7109375" style="177" customWidth="1"/>
    <col min="4" max="5" width="0" style="177" hidden="1" customWidth="1"/>
    <col min="6" max="6" width="19.85546875" style="184" customWidth="1"/>
    <col min="7" max="7" width="20.28515625" style="184" customWidth="1"/>
    <col min="8" max="16384" width="9.140625" style="177"/>
  </cols>
  <sheetData>
    <row r="1" spans="2:7" x14ac:dyDescent="0.25">
      <c r="B1" s="278" t="s">
        <v>26</v>
      </c>
      <c r="C1" s="279"/>
      <c r="D1" s="279"/>
      <c r="E1" s="279"/>
      <c r="F1" s="279"/>
      <c r="G1" s="280"/>
    </row>
    <row r="2" spans="2:7" ht="15.75" thickBot="1" x14ac:dyDescent="0.3">
      <c r="B2" s="281" t="s">
        <v>27</v>
      </c>
      <c r="C2" s="282"/>
      <c r="D2" s="282"/>
      <c r="E2" s="282"/>
      <c r="F2" s="282"/>
      <c r="G2" s="283"/>
    </row>
    <row r="3" spans="2:7" ht="18" customHeight="1" thickBot="1" x14ac:dyDescent="0.3">
      <c r="B3" s="178"/>
      <c r="C3" s="179"/>
      <c r="D3" s="180">
        <v>2021</v>
      </c>
      <c r="E3" s="181"/>
      <c r="F3" s="182"/>
      <c r="G3" s="183"/>
    </row>
    <row r="4" spans="2:7" ht="18" customHeight="1" thickBot="1" x14ac:dyDescent="0.3">
      <c r="B4" s="66" t="s">
        <v>3</v>
      </c>
      <c r="C4" s="67"/>
      <c r="D4" s="58" t="s">
        <v>28</v>
      </c>
      <c r="E4" s="58" t="s">
        <v>29</v>
      </c>
      <c r="F4" s="284" t="s">
        <v>28</v>
      </c>
      <c r="G4" s="284" t="s">
        <v>29</v>
      </c>
    </row>
    <row r="5" spans="2:7" ht="18" customHeight="1" thickBot="1" x14ac:dyDescent="0.3">
      <c r="B5" s="87" t="s">
        <v>30</v>
      </c>
      <c r="C5" s="88"/>
      <c r="D5" s="185"/>
      <c r="E5" s="185"/>
      <c r="F5" s="161"/>
      <c r="G5" s="161"/>
    </row>
    <row r="6" spans="2:7" ht="18" customHeight="1" thickBot="1" x14ac:dyDescent="0.3">
      <c r="B6" s="89" t="s">
        <v>8</v>
      </c>
      <c r="C6" s="90"/>
      <c r="D6" s="186"/>
      <c r="E6" s="186"/>
      <c r="F6" s="161"/>
      <c r="G6" s="161"/>
    </row>
    <row r="7" spans="2:7" ht="18" customHeight="1" thickBot="1" x14ac:dyDescent="0.3">
      <c r="B7" s="91" t="s">
        <v>9</v>
      </c>
      <c r="C7" s="92"/>
      <c r="D7" s="8">
        <v>5.54</v>
      </c>
      <c r="E7" s="8">
        <v>5.04</v>
      </c>
      <c r="F7" s="125">
        <v>5.15</v>
      </c>
      <c r="G7" s="125">
        <v>4.66</v>
      </c>
    </row>
    <row r="8" spans="2:7" ht="18" customHeight="1" thickBot="1" x14ac:dyDescent="0.3">
      <c r="B8" s="91" t="s">
        <v>13</v>
      </c>
      <c r="C8" s="92"/>
      <c r="D8" s="8">
        <v>0.6</v>
      </c>
      <c r="E8" s="8">
        <v>0.6</v>
      </c>
      <c r="F8" s="125">
        <v>0.9</v>
      </c>
      <c r="G8" s="125">
        <v>0.9</v>
      </c>
    </row>
    <row r="9" spans="2:7" ht="18" customHeight="1" thickBot="1" x14ac:dyDescent="0.3">
      <c r="B9" s="91" t="s">
        <v>11</v>
      </c>
      <c r="C9" s="92"/>
      <c r="D9" s="8">
        <v>0.5</v>
      </c>
      <c r="E9" s="8">
        <v>0.5</v>
      </c>
      <c r="F9" s="125">
        <f>+D9*1.1534</f>
        <v>0.57669999999999999</v>
      </c>
      <c r="G9" s="125">
        <f>+E9*1.1534</f>
        <v>0.57669999999999999</v>
      </c>
    </row>
    <row r="10" spans="2:7" ht="18" customHeight="1" thickBot="1" x14ac:dyDescent="0.3">
      <c r="B10" s="162" t="s">
        <v>14</v>
      </c>
      <c r="C10" s="163"/>
      <c r="D10" s="187"/>
      <c r="E10" s="187"/>
      <c r="F10" s="124"/>
      <c r="G10" s="124"/>
    </row>
    <row r="11" spans="2:7" ht="26.25" customHeight="1" thickBot="1" x14ac:dyDescent="0.3">
      <c r="B11" s="85" t="s">
        <v>31</v>
      </c>
      <c r="C11" s="86"/>
      <c r="D11" s="8">
        <v>0.5</v>
      </c>
      <c r="E11" s="8">
        <v>0.5</v>
      </c>
      <c r="F11" s="125">
        <f>+D11*1.1534</f>
        <v>0.57669999999999999</v>
      </c>
      <c r="G11" s="125">
        <f>+E11*1.1534</f>
        <v>0.57669999999999999</v>
      </c>
    </row>
    <row r="12" spans="2:7" ht="18" customHeight="1" thickBot="1" x14ac:dyDescent="0.3">
      <c r="B12" s="164" t="s">
        <v>32</v>
      </c>
      <c r="C12" s="165"/>
      <c r="D12" s="17">
        <f>SUM(D7:D11)</f>
        <v>7.14</v>
      </c>
      <c r="E12" s="17">
        <f t="shared" ref="E12:G12" si="0">SUM(E7:E11)</f>
        <v>6.64</v>
      </c>
      <c r="F12" s="134">
        <f t="shared" si="0"/>
        <v>7.2034000000000002</v>
      </c>
      <c r="G12" s="134">
        <f t="shared" si="0"/>
        <v>6.7134</v>
      </c>
    </row>
    <row r="13" spans="2:7" ht="18" customHeight="1" thickBot="1" x14ac:dyDescent="0.3">
      <c r="B13" s="188" t="s">
        <v>17</v>
      </c>
      <c r="C13" s="189"/>
      <c r="D13" s="189"/>
      <c r="E13" s="189"/>
      <c r="F13" s="189"/>
      <c r="G13" s="190"/>
    </row>
    <row r="14" spans="2:7" ht="18" customHeight="1" thickBot="1" x14ac:dyDescent="0.3">
      <c r="B14" s="91" t="s">
        <v>18</v>
      </c>
      <c r="C14" s="92"/>
      <c r="D14" s="8">
        <f>300*2/365</f>
        <v>1.6438356164383561</v>
      </c>
      <c r="E14" s="8">
        <f>300*2/365</f>
        <v>1.6438356164383561</v>
      </c>
      <c r="F14" s="125">
        <f>+D14*1.1534</f>
        <v>1.8959999999999999</v>
      </c>
      <c r="G14" s="125">
        <f>+E14*1.1534</f>
        <v>1.8959999999999999</v>
      </c>
    </row>
    <row r="15" spans="2:7" ht="28.5" customHeight="1" thickBot="1" x14ac:dyDescent="0.3">
      <c r="B15" s="85" t="s">
        <v>19</v>
      </c>
      <c r="C15" s="86"/>
      <c r="D15" s="156">
        <f>5*2/365</f>
        <v>2.7397260273972601E-2</v>
      </c>
      <c r="E15" s="156">
        <f>5*2/365</f>
        <v>2.7397260273972601E-2</v>
      </c>
      <c r="F15" s="138">
        <f t="shared" ref="F15:G15" si="1">5*2/365</f>
        <v>2.7397260273972601E-2</v>
      </c>
      <c r="G15" s="138">
        <f t="shared" si="1"/>
        <v>2.7397260273972601E-2</v>
      </c>
    </row>
    <row r="16" spans="2:7" ht="18" customHeight="1" thickBot="1" x14ac:dyDescent="0.3">
      <c r="B16" s="85" t="s">
        <v>20</v>
      </c>
      <c r="C16" s="86"/>
      <c r="D16" s="8">
        <v>2.5</v>
      </c>
      <c r="E16" s="8">
        <v>2.5</v>
      </c>
      <c r="F16" s="125">
        <v>2.5</v>
      </c>
      <c r="G16" s="125">
        <v>2.5</v>
      </c>
    </row>
    <row r="17" spans="2:9" ht="16.5" customHeight="1" thickBot="1" x14ac:dyDescent="0.3">
      <c r="B17" s="85" t="s">
        <v>21</v>
      </c>
      <c r="C17" s="86"/>
      <c r="D17" s="8">
        <v>0.15</v>
      </c>
      <c r="E17" s="8">
        <v>0.15</v>
      </c>
      <c r="F17" s="125">
        <f>+D17*1.1534</f>
        <v>0.17301</v>
      </c>
      <c r="G17" s="125">
        <f>+E17*1.1534</f>
        <v>0.17301</v>
      </c>
    </row>
    <row r="18" spans="2:9" ht="48.75" customHeight="1" thickBot="1" x14ac:dyDescent="0.3">
      <c r="B18" s="85" t="s">
        <v>72</v>
      </c>
      <c r="C18" s="86"/>
      <c r="D18" s="8">
        <v>1.37</v>
      </c>
      <c r="E18" s="8">
        <v>1.37</v>
      </c>
      <c r="F18" s="125">
        <v>1.37</v>
      </c>
      <c r="G18" s="125">
        <v>1.37</v>
      </c>
    </row>
    <row r="19" spans="2:9" ht="36.75" customHeight="1" thickBot="1" x14ac:dyDescent="0.3">
      <c r="B19" s="85" t="s">
        <v>33</v>
      </c>
      <c r="C19" s="86"/>
      <c r="D19" s="8">
        <v>0.43</v>
      </c>
      <c r="E19" s="8">
        <v>0.43</v>
      </c>
      <c r="F19" s="125">
        <v>0.5</v>
      </c>
      <c r="G19" s="125">
        <v>0.5</v>
      </c>
    </row>
    <row r="20" spans="2:9" ht="18" customHeight="1" thickBot="1" x14ac:dyDescent="0.3">
      <c r="B20" s="59"/>
      <c r="C20" s="234"/>
      <c r="D20" s="166">
        <f>SUM(D12,D14:D19)</f>
        <v>13.261232876712327</v>
      </c>
      <c r="E20" s="166">
        <f t="shared" ref="E20:G20" si="2">SUM(E12,E14:E19)</f>
        <v>12.761232876712327</v>
      </c>
      <c r="F20" s="135">
        <f t="shared" si="2"/>
        <v>13.66980726027397</v>
      </c>
      <c r="G20" s="125">
        <f t="shared" si="2"/>
        <v>13.179807260273972</v>
      </c>
    </row>
    <row r="21" spans="2:9" ht="36.75" customHeight="1" thickBot="1" x14ac:dyDescent="0.3">
      <c r="B21" s="167" t="s">
        <v>93</v>
      </c>
      <c r="C21" s="168"/>
      <c r="D21" s="168"/>
      <c r="E21" s="168"/>
      <c r="F21" s="168"/>
      <c r="G21" s="169"/>
    </row>
    <row r="22" spans="2:9" ht="35.25" customHeight="1" thickBot="1" x14ac:dyDescent="0.3">
      <c r="B22" s="85" t="s">
        <v>94</v>
      </c>
      <c r="C22" s="170"/>
      <c r="D22" s="170"/>
      <c r="E22" s="170"/>
      <c r="F22" s="170"/>
      <c r="G22" s="86"/>
    </row>
    <row r="23" spans="2:9" ht="18" customHeight="1" thickBot="1" x14ac:dyDescent="0.3">
      <c r="B23" s="171" t="s">
        <v>34</v>
      </c>
      <c r="C23" s="172"/>
      <c r="D23" s="186"/>
      <c r="E23" s="186"/>
      <c r="F23" s="161"/>
      <c r="G23" s="161"/>
    </row>
    <row r="24" spans="2:9" ht="30" customHeight="1" thickBot="1" x14ac:dyDescent="0.3">
      <c r="B24" s="85" t="s">
        <v>10</v>
      </c>
      <c r="C24" s="86"/>
      <c r="D24" s="17">
        <v>10.199999999999999</v>
      </c>
      <c r="E24" s="17">
        <v>10.199999999999999</v>
      </c>
      <c r="F24" s="134">
        <f>+D24*1.1598</f>
        <v>11.829959999999998</v>
      </c>
      <c r="G24" s="134">
        <f>+E24*1.1598</f>
        <v>11.829959999999998</v>
      </c>
    </row>
    <row r="25" spans="2:9" ht="31.5" customHeight="1" thickBot="1" x14ac:dyDescent="0.3">
      <c r="B25" s="85" t="s">
        <v>71</v>
      </c>
      <c r="C25" s="86"/>
      <c r="D25" s="17">
        <v>0.6</v>
      </c>
      <c r="E25" s="17">
        <v>0.6</v>
      </c>
      <c r="F25" s="134">
        <f>+D25*1.1534</f>
        <v>0.69203999999999999</v>
      </c>
      <c r="G25" s="134">
        <f>+E25*1.1534</f>
        <v>0.69203999999999999</v>
      </c>
      <c r="I25" s="177">
        <v>15.34</v>
      </c>
    </row>
    <row r="26" spans="2:9" ht="18" customHeight="1" thickBot="1" x14ac:dyDescent="0.3">
      <c r="B26" s="171" t="s">
        <v>35</v>
      </c>
      <c r="C26" s="172"/>
      <c r="D26" s="186"/>
      <c r="E26" s="186"/>
      <c r="F26" s="161"/>
      <c r="G26" s="161"/>
    </row>
    <row r="27" spans="2:9" ht="18" customHeight="1" thickBot="1" x14ac:dyDescent="0.3">
      <c r="B27" s="85" t="s">
        <v>12</v>
      </c>
      <c r="C27" s="86"/>
      <c r="D27" s="187"/>
      <c r="E27" s="187"/>
      <c r="F27" s="161"/>
      <c r="G27" s="161"/>
    </row>
    <row r="28" spans="2:9" ht="25.5" customHeight="1" thickBot="1" x14ac:dyDescent="0.3">
      <c r="B28" s="173" t="s">
        <v>36</v>
      </c>
      <c r="C28" s="174"/>
      <c r="D28" s="17">
        <v>1.1499999999999999</v>
      </c>
      <c r="E28" s="17">
        <v>1.1499999999999999</v>
      </c>
      <c r="F28" s="134">
        <v>1.46</v>
      </c>
      <c r="G28" s="134">
        <v>1.46</v>
      </c>
    </row>
    <row r="29" spans="2:9" ht="18" customHeight="1" thickBot="1" x14ac:dyDescent="0.3">
      <c r="B29" s="80"/>
      <c r="C29" s="81"/>
      <c r="D29" s="80">
        <v>2021</v>
      </c>
      <c r="E29" s="81"/>
      <c r="F29" s="191"/>
      <c r="G29" s="192"/>
    </row>
    <row r="30" spans="2:9" ht="28.5" customHeight="1" thickBot="1" x14ac:dyDescent="0.3">
      <c r="B30" s="193" t="s">
        <v>37</v>
      </c>
      <c r="C30" s="194"/>
      <c r="D30" s="17">
        <f>SUM(D20,D24:D25,D28)</f>
        <v>25.211232876712327</v>
      </c>
      <c r="E30" s="17">
        <f t="shared" ref="E30:G30" si="3">SUM(E20,E24:E25,E28)</f>
        <v>24.711232876712327</v>
      </c>
      <c r="F30" s="134">
        <f t="shared" si="3"/>
        <v>27.651807260273969</v>
      </c>
      <c r="G30" s="134">
        <f t="shared" si="3"/>
        <v>27.161807260273967</v>
      </c>
    </row>
  </sheetData>
  <mergeCells count="33">
    <mergeCell ref="B3:C3"/>
    <mergeCell ref="B4:C4"/>
    <mergeCell ref="B29:C29"/>
    <mergeCell ref="B10:C10"/>
    <mergeCell ref="B1:G1"/>
    <mergeCell ref="B2:G2"/>
    <mergeCell ref="D3:E3"/>
    <mergeCell ref="F3:G3"/>
    <mergeCell ref="B5:C5"/>
    <mergeCell ref="B6:C6"/>
    <mergeCell ref="B7:C7"/>
    <mergeCell ref="B8:C8"/>
    <mergeCell ref="B9:C9"/>
    <mergeCell ref="B23:C23"/>
    <mergeCell ref="B11:C11"/>
    <mergeCell ref="B12:C12"/>
    <mergeCell ref="B13:G13"/>
    <mergeCell ref="B14:C14"/>
    <mergeCell ref="B15:C15"/>
    <mergeCell ref="B16:C16"/>
    <mergeCell ref="B17:C17"/>
    <mergeCell ref="B18:C18"/>
    <mergeCell ref="B19:C19"/>
    <mergeCell ref="B21:G21"/>
    <mergeCell ref="B22:G22"/>
    <mergeCell ref="F29:G29"/>
    <mergeCell ref="B30:C30"/>
    <mergeCell ref="B24:C24"/>
    <mergeCell ref="B25:C25"/>
    <mergeCell ref="B26:C26"/>
    <mergeCell ref="B27:C27"/>
    <mergeCell ref="B28:C28"/>
    <mergeCell ref="D29:E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workbookViewId="0">
      <selection activeCell="B1" sqref="B1:H33"/>
    </sheetView>
  </sheetViews>
  <sheetFormatPr defaultRowHeight="15" x14ac:dyDescent="0.25"/>
  <cols>
    <col min="1" max="1" width="3.85546875" customWidth="1"/>
    <col min="2" max="2" width="55.140625" customWidth="1"/>
    <col min="3" max="4" width="0" hidden="1" customWidth="1"/>
    <col min="5" max="5" width="5.140625" hidden="1" customWidth="1"/>
    <col min="6" max="6" width="13.7109375" style="128" customWidth="1"/>
    <col min="7" max="7" width="13.85546875" style="128" customWidth="1"/>
    <col min="8" max="8" width="12.28515625" style="128" customWidth="1"/>
  </cols>
  <sheetData>
    <row r="1" spans="2:8" ht="20.25" customHeight="1" thickBot="1" x14ac:dyDescent="0.3">
      <c r="B1" s="273" t="s">
        <v>38</v>
      </c>
      <c r="C1" s="274"/>
      <c r="D1" s="274"/>
      <c r="E1" s="274"/>
      <c r="F1" s="274"/>
      <c r="G1" s="274"/>
      <c r="H1" s="275"/>
    </row>
    <row r="2" spans="2:8" ht="20.25" customHeight="1" thickBot="1" x14ac:dyDescent="0.3">
      <c r="B2" s="120" t="s">
        <v>27</v>
      </c>
      <c r="C2" s="121"/>
      <c r="D2" s="121"/>
      <c r="E2" s="121"/>
      <c r="F2" s="121"/>
      <c r="G2" s="121"/>
      <c r="H2" s="122"/>
    </row>
    <row r="3" spans="2:8" ht="15" customHeight="1" thickBot="1" x14ac:dyDescent="0.3">
      <c r="B3" s="285"/>
      <c r="C3" s="276" t="s">
        <v>39</v>
      </c>
      <c r="D3" s="277"/>
      <c r="E3" s="195"/>
      <c r="F3" s="288"/>
      <c r="G3" s="289"/>
      <c r="H3" s="290"/>
    </row>
    <row r="4" spans="2:8" ht="27" customHeight="1" thickBot="1" x14ac:dyDescent="0.3">
      <c r="B4" s="237" t="s">
        <v>3</v>
      </c>
      <c r="C4" s="196" t="s">
        <v>40</v>
      </c>
      <c r="D4" s="197" t="s">
        <v>49</v>
      </c>
      <c r="E4" s="195" t="s">
        <v>41</v>
      </c>
      <c r="F4" s="286" t="s">
        <v>42</v>
      </c>
      <c r="G4" s="287" t="s">
        <v>49</v>
      </c>
      <c r="H4" s="286" t="s">
        <v>50</v>
      </c>
    </row>
    <row r="5" spans="2:8" s="248" customFormat="1" ht="28.5" customHeight="1" thickBot="1" x14ac:dyDescent="0.3">
      <c r="B5" s="249" t="s">
        <v>62</v>
      </c>
      <c r="C5" s="250"/>
      <c r="D5" s="250"/>
      <c r="E5" s="250"/>
      <c r="F5" s="230"/>
      <c r="G5" s="230"/>
      <c r="H5" s="242"/>
    </row>
    <row r="6" spans="2:8" ht="20.25" customHeight="1" thickBot="1" x14ac:dyDescent="0.3">
      <c r="B6" s="152" t="s">
        <v>9</v>
      </c>
      <c r="C6" s="8">
        <v>11.15</v>
      </c>
      <c r="D6" s="238">
        <v>10.84</v>
      </c>
      <c r="E6" s="239">
        <v>6.71</v>
      </c>
      <c r="F6" s="226">
        <v>11.01</v>
      </c>
      <c r="G6" s="240">
        <v>10.53</v>
      </c>
      <c r="H6" s="226">
        <v>6.64</v>
      </c>
    </row>
    <row r="7" spans="2:8" ht="20.25" customHeight="1" thickBot="1" x14ac:dyDescent="0.3">
      <c r="B7" s="152" t="s">
        <v>13</v>
      </c>
      <c r="C7" s="8">
        <v>0.6</v>
      </c>
      <c r="D7" s="201">
        <v>0.6</v>
      </c>
      <c r="E7" s="8">
        <v>0.6</v>
      </c>
      <c r="F7" s="226">
        <v>0.9</v>
      </c>
      <c r="G7" s="227">
        <v>0.9</v>
      </c>
      <c r="H7" s="226">
        <v>0.9</v>
      </c>
    </row>
    <row r="8" spans="2:8" ht="20.25" customHeight="1" thickBot="1" x14ac:dyDescent="0.3">
      <c r="B8" s="11" t="s">
        <v>84</v>
      </c>
      <c r="C8" s="8">
        <v>3</v>
      </c>
      <c r="D8" s="201">
        <v>3</v>
      </c>
      <c r="E8" s="8">
        <v>2.5</v>
      </c>
      <c r="F8" s="226">
        <f>+C8*1.378</f>
        <v>4.1339999999999995</v>
      </c>
      <c r="G8" s="227">
        <f>+D8*1.378</f>
        <v>4.1339999999999995</v>
      </c>
      <c r="H8" s="226">
        <f>+E8*1.378</f>
        <v>3.4449999999999998</v>
      </c>
    </row>
    <row r="9" spans="2:8" ht="20.25" customHeight="1" thickBot="1" x14ac:dyDescent="0.3">
      <c r="B9" s="11" t="s">
        <v>15</v>
      </c>
      <c r="C9" s="8">
        <v>0.5</v>
      </c>
      <c r="D9" s="201">
        <v>0.5</v>
      </c>
      <c r="E9" s="8">
        <v>0.5</v>
      </c>
      <c r="F9" s="226">
        <f>+C9*1.1534</f>
        <v>0.57669999999999999</v>
      </c>
      <c r="G9" s="227">
        <f t="shared" ref="G9:H9" si="0">+D9*1.1534</f>
        <v>0.57669999999999999</v>
      </c>
      <c r="H9" s="226">
        <f t="shared" si="0"/>
        <v>0.57669999999999999</v>
      </c>
    </row>
    <row r="10" spans="2:8" ht="20.25" customHeight="1" thickBot="1" x14ac:dyDescent="0.3">
      <c r="B10" s="11" t="s">
        <v>64</v>
      </c>
      <c r="C10" s="8">
        <v>0.5</v>
      </c>
      <c r="D10" s="199">
        <v>0.5</v>
      </c>
      <c r="E10" s="200">
        <v>0.5</v>
      </c>
      <c r="F10" s="226">
        <f>+C10*1.1534</f>
        <v>0.57669999999999999</v>
      </c>
      <c r="G10" s="227">
        <f t="shared" ref="G10" si="1">+D10*1.1534</f>
        <v>0.57669999999999999</v>
      </c>
      <c r="H10" s="226">
        <f t="shared" ref="H10" si="2">+E10*1.1534</f>
        <v>0.57669999999999999</v>
      </c>
    </row>
    <row r="11" spans="2:8" ht="20.25" customHeight="1" thickBot="1" x14ac:dyDescent="0.3">
      <c r="B11" s="144" t="s">
        <v>10</v>
      </c>
      <c r="C11" s="153"/>
      <c r="D11" s="198"/>
      <c r="E11" s="153"/>
      <c r="F11" s="225"/>
      <c r="G11" s="230"/>
      <c r="H11" s="225"/>
    </row>
    <row r="12" spans="2:8" ht="20.25" customHeight="1" thickBot="1" x14ac:dyDescent="0.3">
      <c r="B12" s="11" t="s">
        <v>10</v>
      </c>
      <c r="C12" s="8">
        <v>10.199999999999999</v>
      </c>
      <c r="D12" s="199">
        <v>10.199999999999999</v>
      </c>
      <c r="E12" s="200">
        <v>10.199999999999999</v>
      </c>
      <c r="F12" s="226">
        <f>+C12*1.1598</f>
        <v>11.829959999999998</v>
      </c>
      <c r="G12" s="227">
        <f t="shared" ref="G12:H12" si="3">+D12*1.1598</f>
        <v>11.829959999999998</v>
      </c>
      <c r="H12" s="226">
        <f t="shared" si="3"/>
        <v>11.829959999999998</v>
      </c>
    </row>
    <row r="13" spans="2:8" ht="26.25" customHeight="1" thickBot="1" x14ac:dyDescent="0.3">
      <c r="B13" s="11" t="s">
        <v>70</v>
      </c>
      <c r="C13" s="8">
        <v>0.6</v>
      </c>
      <c r="D13" s="199">
        <v>0.6</v>
      </c>
      <c r="E13" s="200">
        <v>0.6</v>
      </c>
      <c r="F13" s="226">
        <f>+C13*1.1534</f>
        <v>0.69203999999999999</v>
      </c>
      <c r="G13" s="227">
        <f t="shared" ref="G13" si="4">+D13*1.1534</f>
        <v>0.69203999999999999</v>
      </c>
      <c r="H13" s="226">
        <f t="shared" ref="H13" si="5">+E13*1.1534</f>
        <v>0.69203999999999999</v>
      </c>
    </row>
    <row r="14" spans="2:8" ht="20.25" customHeight="1" thickBot="1" x14ac:dyDescent="0.3">
      <c r="B14" s="144" t="s">
        <v>61</v>
      </c>
      <c r="C14" s="202"/>
      <c r="D14" s="203"/>
      <c r="E14" s="153"/>
      <c r="F14" s="225"/>
      <c r="G14" s="230"/>
      <c r="H14" s="225"/>
    </row>
    <row r="15" spans="2:8" ht="20.25" customHeight="1" thickBot="1" x14ac:dyDescent="0.3">
      <c r="B15" s="11" t="s">
        <v>12</v>
      </c>
      <c r="C15" s="8">
        <v>0.8</v>
      </c>
      <c r="D15" s="199">
        <v>0.8</v>
      </c>
      <c r="E15" s="200">
        <v>1</v>
      </c>
      <c r="F15" s="226">
        <f>+C15*1.1534</f>
        <v>0.92271999999999998</v>
      </c>
      <c r="G15" s="227">
        <f t="shared" ref="G15" si="6">+D15*1.1534</f>
        <v>0.92271999999999998</v>
      </c>
      <c r="H15" s="226">
        <f t="shared" ref="H15" si="7">+E15*1.1534</f>
        <v>1.1534</v>
      </c>
    </row>
    <row r="16" spans="2:8" ht="20.25" customHeight="1" thickBot="1" x14ac:dyDescent="0.3">
      <c r="B16" s="146" t="s">
        <v>16</v>
      </c>
      <c r="C16" s="155">
        <f t="shared" ref="C16:H16" si="8">SUM(C6:C15)</f>
        <v>27.35</v>
      </c>
      <c r="D16" s="204">
        <f t="shared" si="8"/>
        <v>27.040000000000003</v>
      </c>
      <c r="E16" s="205">
        <f t="shared" si="8"/>
        <v>22.61</v>
      </c>
      <c r="F16" s="226">
        <f t="shared" si="8"/>
        <v>30.642119999999991</v>
      </c>
      <c r="G16" s="227">
        <f t="shared" si="8"/>
        <v>30.162119999999994</v>
      </c>
      <c r="H16" s="226">
        <f t="shared" si="8"/>
        <v>25.813799999999997</v>
      </c>
    </row>
    <row r="17" spans="2:11" ht="20.25" customHeight="1" thickBot="1" x14ac:dyDescent="0.3">
      <c r="B17" s="148" t="s">
        <v>17</v>
      </c>
      <c r="C17" s="149"/>
      <c r="D17" s="149"/>
      <c r="E17" s="149"/>
      <c r="F17" s="149"/>
      <c r="G17" s="149"/>
      <c r="H17" s="150"/>
    </row>
    <row r="18" spans="2:11" ht="20.25" customHeight="1" thickBot="1" x14ac:dyDescent="0.3">
      <c r="B18" s="11" t="s">
        <v>44</v>
      </c>
      <c r="C18" s="8">
        <f>300*2/365</f>
        <v>1.6438356164383561</v>
      </c>
      <c r="D18" s="199">
        <f t="shared" ref="D18:E18" si="9">300*2/365</f>
        <v>1.6438356164383561</v>
      </c>
      <c r="E18" s="200">
        <f t="shared" si="9"/>
        <v>1.6438356164383561</v>
      </c>
      <c r="F18" s="226">
        <f>+C18*1.1534</f>
        <v>1.8959999999999999</v>
      </c>
      <c r="G18" s="227">
        <f t="shared" ref="G18" si="10">+D18*1.1534</f>
        <v>1.8959999999999999</v>
      </c>
      <c r="H18" s="226">
        <f t="shared" ref="H18" si="11">+E18*1.1534</f>
        <v>1.8959999999999999</v>
      </c>
    </row>
    <row r="19" spans="2:11" ht="20.25" customHeight="1" thickBot="1" x14ac:dyDescent="0.3">
      <c r="B19" s="234" t="s">
        <v>45</v>
      </c>
      <c r="C19" s="235">
        <f>5*2/365</f>
        <v>2.7397260273972601E-2</v>
      </c>
      <c r="D19" s="206">
        <f t="shared" ref="D19:H19" si="12">5*2/365</f>
        <v>2.7397260273972601E-2</v>
      </c>
      <c r="E19" s="207">
        <f t="shared" si="12"/>
        <v>2.7397260273972601E-2</v>
      </c>
      <c r="F19" s="236">
        <f t="shared" si="12"/>
        <v>2.7397260273972601E-2</v>
      </c>
      <c r="G19" s="244">
        <f t="shared" si="12"/>
        <v>2.7397260273972601E-2</v>
      </c>
      <c r="H19" s="236">
        <f t="shared" si="12"/>
        <v>2.7397260273972601E-2</v>
      </c>
    </row>
    <row r="20" spans="2:11" ht="20.25" customHeight="1" thickBot="1" x14ac:dyDescent="0.3">
      <c r="B20" s="11" t="s">
        <v>20</v>
      </c>
      <c r="C20" s="8">
        <v>2.5</v>
      </c>
      <c r="D20" s="201">
        <v>2.5</v>
      </c>
      <c r="E20" s="8">
        <v>2.5</v>
      </c>
      <c r="F20" s="226">
        <v>2.5</v>
      </c>
      <c r="G20" s="227">
        <v>2.5</v>
      </c>
      <c r="H20" s="226">
        <v>2.5</v>
      </c>
    </row>
    <row r="21" spans="2:11" ht="20.25" customHeight="1" thickBot="1" x14ac:dyDescent="0.3">
      <c r="B21" s="208" t="s">
        <v>21</v>
      </c>
      <c r="C21" s="8">
        <v>0.15</v>
      </c>
      <c r="D21" s="199">
        <v>0.15</v>
      </c>
      <c r="E21" s="200">
        <v>0.15</v>
      </c>
      <c r="F21" s="226">
        <f>+C21*1.1534</f>
        <v>0.17301</v>
      </c>
      <c r="G21" s="227">
        <f t="shared" ref="G21" si="13">+D21*1.1534</f>
        <v>0.17301</v>
      </c>
      <c r="H21" s="226">
        <f t="shared" ref="H21" si="14">+E21*1.1534</f>
        <v>0.17301</v>
      </c>
    </row>
    <row r="22" spans="2:11" ht="36" customHeight="1" thickBot="1" x14ac:dyDescent="0.3">
      <c r="B22" s="234" t="s">
        <v>95</v>
      </c>
      <c r="C22" s="209" t="s">
        <v>46</v>
      </c>
      <c r="D22" s="210"/>
      <c r="E22" s="209"/>
      <c r="F22" s="227">
        <v>0.38</v>
      </c>
      <c r="G22" s="231"/>
      <c r="H22" s="232"/>
    </row>
    <row r="23" spans="2:11" ht="42" customHeight="1" thickBot="1" x14ac:dyDescent="0.3">
      <c r="B23" s="245" t="s">
        <v>96</v>
      </c>
      <c r="C23" s="209"/>
      <c r="D23" s="210"/>
      <c r="E23" s="209"/>
      <c r="F23" s="243">
        <v>2.8</v>
      </c>
      <c r="G23" s="232"/>
      <c r="H23" s="233"/>
    </row>
    <row r="24" spans="2:11" ht="54.6" customHeight="1" thickBot="1" x14ac:dyDescent="0.3">
      <c r="B24" s="11" t="s">
        <v>73</v>
      </c>
      <c r="C24" s="211">
        <v>1.37</v>
      </c>
      <c r="D24" s="212">
        <v>1.37</v>
      </c>
      <c r="E24" s="211">
        <v>1.37</v>
      </c>
      <c r="F24" s="226">
        <v>1.37</v>
      </c>
      <c r="G24" s="226">
        <v>1.37</v>
      </c>
      <c r="H24" s="226">
        <v>1.37</v>
      </c>
    </row>
    <row r="25" spans="2:11" ht="30" customHeight="1" thickBot="1" x14ac:dyDescent="0.3">
      <c r="B25" s="11" t="s">
        <v>47</v>
      </c>
      <c r="C25" s="213">
        <v>0.43</v>
      </c>
      <c r="D25" s="212">
        <v>0.43</v>
      </c>
      <c r="E25" s="211">
        <v>0.43</v>
      </c>
      <c r="F25" s="227">
        <f>+C25*1.1534</f>
        <v>0.49596199999999996</v>
      </c>
      <c r="G25" s="227">
        <f t="shared" ref="G25" si="15">+D25*1.1534</f>
        <v>0.49596199999999996</v>
      </c>
      <c r="H25" s="243">
        <f t="shared" ref="H25" si="16">+E25*1.1534</f>
        <v>0.49596199999999996</v>
      </c>
    </row>
    <row r="26" spans="2:11" ht="20.25" customHeight="1" thickBot="1" x14ac:dyDescent="0.3">
      <c r="B26" s="214" t="s">
        <v>22</v>
      </c>
      <c r="C26" s="60">
        <v>2021</v>
      </c>
      <c r="D26" s="61"/>
      <c r="E26" s="62"/>
      <c r="F26" s="175"/>
      <c r="G26" s="228"/>
      <c r="H26" s="176"/>
      <c r="K26" s="248"/>
    </row>
    <row r="27" spans="2:11" ht="20.25" customHeight="1" thickBot="1" x14ac:dyDescent="0.3">
      <c r="B27" s="215"/>
      <c r="C27" s="216">
        <f>SUM(C16,C18:C25)</f>
        <v>33.471232876712328</v>
      </c>
      <c r="D27" s="217">
        <f t="shared" ref="D27:H27" si="17">SUM(D16,D18:D25)</f>
        <v>33.161232876712326</v>
      </c>
      <c r="E27" s="218">
        <f t="shared" si="17"/>
        <v>28.731232876712326</v>
      </c>
      <c r="F27" s="246">
        <f t="shared" si="17"/>
        <v>40.284489260273958</v>
      </c>
      <c r="G27" s="247">
        <f t="shared" si="17"/>
        <v>36.624489260273961</v>
      </c>
      <c r="H27" s="229">
        <f t="shared" si="17"/>
        <v>32.276169260273974</v>
      </c>
      <c r="K27" s="248"/>
    </row>
    <row r="28" spans="2:11" ht="20.25" customHeight="1" thickBot="1" x14ac:dyDescent="0.3">
      <c r="B28" s="158" t="s">
        <v>48</v>
      </c>
      <c r="C28" s="159"/>
      <c r="D28" s="159"/>
      <c r="E28" s="159"/>
      <c r="F28" s="159"/>
      <c r="G28" s="159"/>
      <c r="H28" s="160"/>
    </row>
    <row r="29" spans="2:11" ht="20.25" customHeight="1" x14ac:dyDescent="0.25">
      <c r="B29" s="219" t="s">
        <v>89</v>
      </c>
      <c r="C29" s="220"/>
      <c r="D29" s="220"/>
      <c r="E29" s="220"/>
      <c r="F29" s="220"/>
      <c r="G29" s="220"/>
      <c r="H29" s="221"/>
    </row>
    <row r="30" spans="2:11" ht="10.5" customHeight="1" thickBot="1" x14ac:dyDescent="0.3">
      <c r="B30" s="222"/>
      <c r="C30" s="223"/>
      <c r="D30" s="223"/>
      <c r="E30" s="223"/>
      <c r="F30" s="223"/>
      <c r="G30" s="223"/>
      <c r="H30" s="224"/>
    </row>
    <row r="31" spans="2:11" ht="25.5" customHeight="1" thickBot="1" x14ac:dyDescent="0.3">
      <c r="B31" s="71" t="s">
        <v>74</v>
      </c>
      <c r="C31" s="72"/>
      <c r="D31" s="72"/>
      <c r="E31" s="72"/>
      <c r="F31" s="72"/>
      <c r="G31" s="72"/>
      <c r="H31" s="73"/>
    </row>
    <row r="32" spans="2:11" ht="73.5" customHeight="1" thickBot="1" x14ac:dyDescent="0.3">
      <c r="B32" s="71" t="s">
        <v>97</v>
      </c>
      <c r="C32" s="72"/>
      <c r="D32" s="72"/>
      <c r="E32" s="72"/>
      <c r="F32" s="72"/>
      <c r="G32" s="72"/>
      <c r="H32" s="73"/>
    </row>
    <row r="33" spans="2:8" ht="73.5" customHeight="1" thickBot="1" x14ac:dyDescent="0.3">
      <c r="B33" s="71" t="s">
        <v>98</v>
      </c>
      <c r="C33" s="72"/>
      <c r="D33" s="72"/>
      <c r="E33" s="72"/>
      <c r="F33" s="72"/>
      <c r="G33" s="72"/>
      <c r="H33" s="73"/>
    </row>
  </sheetData>
  <mergeCells count="12">
    <mergeCell ref="B17:H17"/>
    <mergeCell ref="B1:H1"/>
    <mergeCell ref="B2:H2"/>
    <mergeCell ref="C3:D3"/>
    <mergeCell ref="B33:H33"/>
    <mergeCell ref="B28:H28"/>
    <mergeCell ref="B29:H30"/>
    <mergeCell ref="B31:H31"/>
    <mergeCell ref="B26:B27"/>
    <mergeCell ref="C26:E26"/>
    <mergeCell ref="F26:H26"/>
    <mergeCell ref="B32:H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6"/>
  <sheetViews>
    <sheetView topLeftCell="A10" workbookViewId="0">
      <selection activeCell="B1" sqref="B1:D33"/>
    </sheetView>
  </sheetViews>
  <sheetFormatPr defaultRowHeight="15" x14ac:dyDescent="0.25"/>
  <cols>
    <col min="1" max="1" width="4.7109375" customWidth="1"/>
    <col min="2" max="2" width="66.140625" customWidth="1"/>
    <col min="3" max="3" width="27.140625" hidden="1" customWidth="1"/>
    <col min="4" max="4" width="27.140625" customWidth="1"/>
    <col min="5" max="5" width="0" style="54" hidden="1" customWidth="1"/>
    <col min="6" max="6" width="9.85546875" hidden="1" customWidth="1"/>
    <col min="7" max="11" width="0" hidden="1" customWidth="1"/>
  </cols>
  <sheetData>
    <row r="1" spans="2:13" ht="19.5" customHeight="1" x14ac:dyDescent="0.25">
      <c r="B1" s="267" t="s">
        <v>51</v>
      </c>
      <c r="C1" s="268"/>
      <c r="D1" s="269"/>
    </row>
    <row r="2" spans="2:13" ht="19.5" customHeight="1" thickBot="1" x14ac:dyDescent="0.3">
      <c r="B2" s="270" t="s">
        <v>1</v>
      </c>
      <c r="C2" s="271"/>
      <c r="D2" s="272"/>
    </row>
    <row r="3" spans="2:13" ht="19.5" customHeight="1" thickBot="1" x14ac:dyDescent="0.3">
      <c r="B3" s="251" t="s">
        <v>52</v>
      </c>
      <c r="C3" s="252"/>
      <c r="D3" s="253"/>
    </row>
    <row r="4" spans="2:13" ht="19.5" customHeight="1" thickBot="1" x14ac:dyDescent="0.3">
      <c r="B4" s="291"/>
      <c r="C4" s="292">
        <v>2021</v>
      </c>
      <c r="D4" s="293"/>
    </row>
    <row r="5" spans="2:13" ht="27.75" customHeight="1" thickBot="1" x14ac:dyDescent="0.3">
      <c r="B5" s="241" t="s">
        <v>62</v>
      </c>
      <c r="C5" s="298"/>
      <c r="D5" s="301"/>
    </row>
    <row r="6" spans="2:13" ht="19.5" customHeight="1" thickBot="1" x14ac:dyDescent="0.3">
      <c r="B6" s="296" t="s">
        <v>9</v>
      </c>
      <c r="C6" s="294">
        <v>11.42</v>
      </c>
      <c r="D6" s="299">
        <v>10.28</v>
      </c>
      <c r="J6" s="53"/>
    </row>
    <row r="7" spans="2:13" ht="19.5" customHeight="1" thickBot="1" x14ac:dyDescent="0.3">
      <c r="B7" s="296" t="s">
        <v>13</v>
      </c>
      <c r="C7" s="298">
        <v>0.6</v>
      </c>
      <c r="D7" s="301">
        <v>0.9</v>
      </c>
      <c r="E7" s="54">
        <f>D7/C7-1</f>
        <v>0.5</v>
      </c>
      <c r="F7" s="55">
        <f>E7-0.1467</f>
        <v>0.3533</v>
      </c>
      <c r="G7" s="55">
        <f>+F7+0.1534</f>
        <v>0.50670000000000004</v>
      </c>
      <c r="H7">
        <f>+C7*(1+G7)</f>
        <v>0.90401999999999993</v>
      </c>
      <c r="J7" s="56">
        <f>D7</f>
        <v>0.9</v>
      </c>
      <c r="M7" s="53"/>
    </row>
    <row r="8" spans="2:13" ht="19.5" customHeight="1" thickBot="1" x14ac:dyDescent="0.3">
      <c r="B8" s="234" t="s">
        <v>15</v>
      </c>
      <c r="C8" s="294">
        <v>0.5</v>
      </c>
      <c r="D8" s="299">
        <v>0.57669999999999999</v>
      </c>
      <c r="E8" s="54">
        <f t="shared" ref="E8:E9" si="0">D8/C8-1</f>
        <v>0.15339999999999998</v>
      </c>
      <c r="J8" s="53">
        <f>+C8*1.1534</f>
        <v>0.57669999999999999</v>
      </c>
    </row>
    <row r="9" spans="2:13" ht="19.5" customHeight="1" thickBot="1" x14ac:dyDescent="0.3">
      <c r="B9" s="234" t="s">
        <v>43</v>
      </c>
      <c r="C9" s="298">
        <v>3.93</v>
      </c>
      <c r="D9" s="300">
        <v>5.41554</v>
      </c>
      <c r="E9" s="54">
        <f t="shared" si="0"/>
        <v>0.37799999999999989</v>
      </c>
      <c r="J9" s="56">
        <f>+C9*1.378</f>
        <v>5.41554</v>
      </c>
    </row>
    <row r="10" spans="2:13" ht="20.25" customHeight="1" thickBot="1" x14ac:dyDescent="0.3">
      <c r="B10" s="297" t="s">
        <v>75</v>
      </c>
      <c r="C10" s="294"/>
      <c r="D10" s="299"/>
      <c r="J10" s="53"/>
    </row>
    <row r="11" spans="2:13" ht="19.5" customHeight="1" thickBot="1" x14ac:dyDescent="0.3">
      <c r="B11" s="296" t="s">
        <v>54</v>
      </c>
      <c r="C11" s="298">
        <v>1</v>
      </c>
      <c r="D11" s="301">
        <v>1.1534</v>
      </c>
      <c r="E11" s="54">
        <f t="shared" ref="E11:E13" si="1">D11/C11-1</f>
        <v>0.15339999999999998</v>
      </c>
      <c r="J11" s="53">
        <f>+C11*1.1534</f>
        <v>1.1534</v>
      </c>
    </row>
    <row r="12" spans="2:13" ht="19.5" customHeight="1" thickBot="1" x14ac:dyDescent="0.3">
      <c r="B12" s="296" t="s">
        <v>55</v>
      </c>
      <c r="C12" s="294">
        <v>0.06</v>
      </c>
      <c r="D12" s="299">
        <v>6.9204000000000002E-2</v>
      </c>
      <c r="E12" s="54">
        <f t="shared" si="1"/>
        <v>0.15339999999999998</v>
      </c>
      <c r="J12" s="53">
        <f>+C12*1.1534</f>
        <v>6.9204000000000002E-2</v>
      </c>
    </row>
    <row r="13" spans="2:13" ht="19.5" customHeight="1" thickBot="1" x14ac:dyDescent="0.3">
      <c r="B13" s="152" t="s">
        <v>53</v>
      </c>
      <c r="C13" s="8">
        <v>5</v>
      </c>
      <c r="D13" s="301">
        <v>5.7669999999999995</v>
      </c>
      <c r="E13" s="54">
        <f t="shared" si="1"/>
        <v>0.15339999999999998</v>
      </c>
      <c r="J13" s="53">
        <f>+C13*1.1534</f>
        <v>5.7669999999999995</v>
      </c>
    </row>
    <row r="14" spans="2:13" ht="16.5" customHeight="1" thickBot="1" x14ac:dyDescent="0.3">
      <c r="B14" s="295" t="s">
        <v>63</v>
      </c>
      <c r="C14" s="294"/>
      <c r="D14" s="307"/>
      <c r="J14" s="53"/>
    </row>
    <row r="15" spans="2:13" ht="26.25" thickBot="1" x14ac:dyDescent="0.3">
      <c r="B15" s="11" t="s">
        <v>56</v>
      </c>
      <c r="C15" s="8">
        <v>0.11</v>
      </c>
      <c r="D15" s="301">
        <v>0.12687399999999999</v>
      </c>
      <c r="E15" s="54">
        <f>D15/C15-1</f>
        <v>0.15339999999999998</v>
      </c>
      <c r="J15" s="53">
        <f>+C15*1.1534</f>
        <v>0.12687399999999999</v>
      </c>
    </row>
    <row r="16" spans="2:13" ht="19.5" customHeight="1" thickBot="1" x14ac:dyDescent="0.3">
      <c r="B16" s="146" t="s">
        <v>16</v>
      </c>
      <c r="C16" s="254">
        <f>SUM(C6:C9,C11:C13,C15)</f>
        <v>22.619999999999997</v>
      </c>
      <c r="D16" s="254">
        <f>SUM(D6:D9,D11:D13,D15)</f>
        <v>24.288718000000003</v>
      </c>
      <c r="E16" s="54">
        <f>D16/C16-1</f>
        <v>7.3771794871795082E-2</v>
      </c>
      <c r="J16" s="53"/>
    </row>
    <row r="17" spans="1:10" ht="19.5" customHeight="1" thickBot="1" x14ac:dyDescent="0.3">
      <c r="B17" s="148" t="s">
        <v>17</v>
      </c>
      <c r="C17" s="149"/>
      <c r="D17" s="150"/>
      <c r="J17" s="53"/>
    </row>
    <row r="18" spans="1:10" ht="19.5" customHeight="1" thickBot="1" x14ac:dyDescent="0.3">
      <c r="B18" s="11" t="s">
        <v>18</v>
      </c>
      <c r="C18" s="8">
        <f>300*2/365</f>
        <v>1.6438356164383561</v>
      </c>
      <c r="D18" s="264">
        <v>1.8959999999999999</v>
      </c>
      <c r="E18" s="54">
        <f t="shared" ref="E18:E21" si="2">D18/C18-1</f>
        <v>0.15339999999999998</v>
      </c>
      <c r="J18" s="53">
        <f>+C18*1.1534</f>
        <v>1.8959999999999999</v>
      </c>
    </row>
    <row r="19" spans="1:10" ht="19.5" customHeight="1" thickBot="1" x14ac:dyDescent="0.3">
      <c r="B19" s="11" t="s">
        <v>19</v>
      </c>
      <c r="C19" s="156">
        <f>5*2/365</f>
        <v>2.7397260273972601E-2</v>
      </c>
      <c r="D19" s="308">
        <v>2.7397260273972601E-2</v>
      </c>
      <c r="E19" s="54">
        <f t="shared" si="2"/>
        <v>0</v>
      </c>
      <c r="J19" s="56">
        <f>D19</f>
        <v>2.7397260273972601E-2</v>
      </c>
    </row>
    <row r="20" spans="1:10" ht="19.5" customHeight="1" thickBot="1" x14ac:dyDescent="0.3">
      <c r="B20" s="255" t="s">
        <v>20</v>
      </c>
      <c r="C20" s="256">
        <v>2.5</v>
      </c>
      <c r="D20" s="309">
        <v>2.5</v>
      </c>
      <c r="E20" s="54">
        <f t="shared" si="2"/>
        <v>0</v>
      </c>
      <c r="J20" s="56">
        <f>D20</f>
        <v>2.5</v>
      </c>
    </row>
    <row r="21" spans="1:10" ht="19.5" customHeight="1" thickBot="1" x14ac:dyDescent="0.3">
      <c r="B21" s="302" t="s">
        <v>21</v>
      </c>
      <c r="C21" s="298">
        <v>0.15</v>
      </c>
      <c r="D21" s="301">
        <v>0.17301</v>
      </c>
      <c r="E21" s="54">
        <f t="shared" si="2"/>
        <v>0.15339999999999998</v>
      </c>
      <c r="J21" s="53">
        <f>+C21*1.1534</f>
        <v>0.17301</v>
      </c>
    </row>
    <row r="22" spans="1:10" ht="26.25" thickBot="1" x14ac:dyDescent="0.3">
      <c r="B22" s="303" t="s">
        <v>79</v>
      </c>
      <c r="C22" s="306"/>
      <c r="D22" s="301">
        <v>3.82</v>
      </c>
      <c r="J22" s="56"/>
    </row>
    <row r="23" spans="1:10" ht="26.25" thickBot="1" x14ac:dyDescent="0.3">
      <c r="B23" s="245" t="s">
        <v>99</v>
      </c>
      <c r="C23" s="305"/>
      <c r="D23" s="301">
        <v>0.38</v>
      </c>
      <c r="J23" s="56"/>
    </row>
    <row r="24" spans="1:10" ht="38.25" customHeight="1" thickBot="1" x14ac:dyDescent="0.3">
      <c r="B24" s="303" t="s">
        <v>100</v>
      </c>
      <c r="C24" s="306"/>
      <c r="D24" s="301">
        <v>2.8</v>
      </c>
      <c r="J24" s="56"/>
    </row>
    <row r="25" spans="1:10" ht="39" thickBot="1" x14ac:dyDescent="0.3">
      <c r="A25" s="44"/>
      <c r="B25" s="234" t="s">
        <v>76</v>
      </c>
      <c r="C25" s="298">
        <v>1.8</v>
      </c>
      <c r="D25" s="301">
        <v>1.37</v>
      </c>
      <c r="E25" s="54">
        <f>(D25+D26)/C25-1</f>
        <v>3.6645555555555598E-2</v>
      </c>
      <c r="J25" s="56">
        <f>D25</f>
        <v>1.37</v>
      </c>
    </row>
    <row r="26" spans="1:10" ht="15.75" thickBot="1" x14ac:dyDescent="0.3">
      <c r="B26" s="304" t="s">
        <v>47</v>
      </c>
      <c r="C26" s="257"/>
      <c r="D26" s="310">
        <v>0.49596199999999996</v>
      </c>
      <c r="J26" s="53">
        <f>+C26*1.1534</f>
        <v>0</v>
      </c>
    </row>
    <row r="27" spans="1:10" ht="19.5" customHeight="1" thickBot="1" x14ac:dyDescent="0.3">
      <c r="B27" s="102" t="s">
        <v>22</v>
      </c>
      <c r="C27" s="21">
        <v>2021</v>
      </c>
      <c r="D27" s="265">
        <f>SUM(D16,D18:D26)</f>
        <v>37.75108726027397</v>
      </c>
    </row>
    <row r="28" spans="1:10" ht="19.5" customHeight="1" thickBot="1" x14ac:dyDescent="0.3">
      <c r="B28" s="103"/>
      <c r="C28" s="32">
        <f>SUM(C16,C18:C26)</f>
        <v>28.741232876712324</v>
      </c>
      <c r="D28" s="266"/>
      <c r="E28" s="54">
        <f>D27/C28-1</f>
        <v>0.31348183365028537</v>
      </c>
    </row>
    <row r="29" spans="1:10" ht="29.25" customHeight="1" thickBot="1" x14ac:dyDescent="0.3">
      <c r="B29" s="258" t="s">
        <v>90</v>
      </c>
      <c r="C29" s="259"/>
      <c r="D29" s="260"/>
    </row>
    <row r="30" spans="1:10" ht="29.25" customHeight="1" thickBot="1" x14ac:dyDescent="0.3">
      <c r="B30" s="261" t="s">
        <v>78</v>
      </c>
      <c r="C30" s="262"/>
      <c r="D30" s="263"/>
    </row>
    <row r="31" spans="1:10" ht="60" customHeight="1" thickBot="1" x14ac:dyDescent="0.3">
      <c r="B31" s="261" t="s">
        <v>101</v>
      </c>
      <c r="C31" s="262"/>
      <c r="D31" s="263"/>
    </row>
    <row r="32" spans="1:10" ht="73.5" customHeight="1" thickBot="1" x14ac:dyDescent="0.3">
      <c r="B32" s="261" t="s">
        <v>102</v>
      </c>
      <c r="C32" s="262"/>
      <c r="D32" s="263"/>
    </row>
    <row r="33" spans="2:4" ht="74.25" customHeight="1" thickBot="1" x14ac:dyDescent="0.3">
      <c r="B33" s="261" t="s">
        <v>103</v>
      </c>
      <c r="C33" s="262"/>
      <c r="D33" s="263"/>
    </row>
    <row r="34" spans="2:4" ht="19.5" customHeight="1" x14ac:dyDescent="0.25"/>
    <row r="35" spans="2:4" ht="19.5" customHeight="1" x14ac:dyDescent="0.25"/>
    <row r="36" spans="2:4" ht="19.5" customHeight="1" x14ac:dyDescent="0.25"/>
  </sheetData>
  <mergeCells count="11">
    <mergeCell ref="B1:D1"/>
    <mergeCell ref="B3:D3"/>
    <mergeCell ref="B2:D2"/>
    <mergeCell ref="B27:B28"/>
    <mergeCell ref="D27:D28"/>
    <mergeCell ref="B31:D31"/>
    <mergeCell ref="B33:D33"/>
    <mergeCell ref="B29:D29"/>
    <mergeCell ref="B30:D30"/>
    <mergeCell ref="B17:D17"/>
    <mergeCell ref="B32:D32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7"/>
  <sheetViews>
    <sheetView topLeftCell="A19" workbookViewId="0">
      <selection activeCell="D17" sqref="D17"/>
    </sheetView>
  </sheetViews>
  <sheetFormatPr defaultRowHeight="15" x14ac:dyDescent="0.25"/>
  <cols>
    <col min="1" max="1" width="4.7109375" customWidth="1"/>
    <col min="2" max="2" width="52.140625" customWidth="1"/>
    <col min="3" max="4" width="27.140625" customWidth="1"/>
    <col min="5" max="5" width="9.85546875" style="54" bestFit="1" customWidth="1"/>
    <col min="6" max="6" width="9.85546875" bestFit="1" customWidth="1"/>
  </cols>
  <sheetData>
    <row r="1" spans="2:13" ht="19.5" customHeight="1" x14ac:dyDescent="0.25">
      <c r="B1" s="93" t="s">
        <v>51</v>
      </c>
      <c r="C1" s="94"/>
      <c r="D1" s="95"/>
    </row>
    <row r="2" spans="2:13" ht="19.5" customHeight="1" x14ac:dyDescent="0.25">
      <c r="B2" s="82" t="s">
        <v>52</v>
      </c>
      <c r="C2" s="83"/>
      <c r="D2" s="84"/>
    </row>
    <row r="3" spans="2:13" ht="19.5" customHeight="1" x14ac:dyDescent="0.25">
      <c r="B3" s="82" t="s">
        <v>1</v>
      </c>
      <c r="C3" s="83"/>
      <c r="D3" s="84"/>
    </row>
    <row r="4" spans="2:13" ht="19.5" customHeight="1" x14ac:dyDescent="0.25">
      <c r="B4" s="82" t="s">
        <v>2</v>
      </c>
      <c r="C4" s="83"/>
      <c r="D4" s="84"/>
    </row>
    <row r="5" spans="2:13" ht="19.5" customHeight="1" x14ac:dyDescent="0.25">
      <c r="B5" s="39"/>
      <c r="C5" s="40">
        <v>2021</v>
      </c>
      <c r="D5" s="41">
        <v>2023</v>
      </c>
    </row>
    <row r="6" spans="2:13" ht="27.75" customHeight="1" x14ac:dyDescent="0.25">
      <c r="B6" s="33" t="s">
        <v>62</v>
      </c>
      <c r="C6" s="27"/>
      <c r="D6" s="34"/>
    </row>
    <row r="7" spans="2:13" ht="19.5" customHeight="1" x14ac:dyDescent="0.25">
      <c r="B7" s="38" t="s">
        <v>9</v>
      </c>
      <c r="C7" s="25">
        <v>11.42</v>
      </c>
      <c r="D7" s="35">
        <v>10.28</v>
      </c>
      <c r="J7" s="53"/>
    </row>
    <row r="8" spans="2:13" ht="19.5" customHeight="1" x14ac:dyDescent="0.25">
      <c r="B8" s="38" t="s">
        <v>13</v>
      </c>
      <c r="C8" s="27">
        <v>0.6</v>
      </c>
      <c r="D8" s="34">
        <f>0.9</f>
        <v>0.9</v>
      </c>
      <c r="E8" s="54">
        <f>D8/C8-1</f>
        <v>0.5</v>
      </c>
      <c r="F8" s="55">
        <f>E8-0.1467</f>
        <v>0.3533</v>
      </c>
      <c r="G8" s="55">
        <f>+F8+0.1534</f>
        <v>0.50670000000000004</v>
      </c>
      <c r="H8">
        <f>+C8*(1+G8)</f>
        <v>0.90401999999999993</v>
      </c>
      <c r="J8" s="56">
        <f>D8</f>
        <v>0.9</v>
      </c>
      <c r="M8" s="53"/>
    </row>
    <row r="9" spans="2:13" ht="19.5" customHeight="1" x14ac:dyDescent="0.25">
      <c r="B9" s="36" t="s">
        <v>15</v>
      </c>
      <c r="C9" s="27">
        <v>0.5</v>
      </c>
      <c r="D9" s="35">
        <v>0.56999999999999995</v>
      </c>
      <c r="E9" s="54">
        <f t="shared" ref="E9:E10" si="0">D9/C9-1</f>
        <v>0.1399999999999999</v>
      </c>
      <c r="J9" s="53">
        <f>+C9*1.1534</f>
        <v>0.57669999999999999</v>
      </c>
    </row>
    <row r="10" spans="2:13" ht="19.5" customHeight="1" x14ac:dyDescent="0.25">
      <c r="B10" s="36" t="s">
        <v>43</v>
      </c>
      <c r="C10" s="27">
        <v>3.93</v>
      </c>
      <c r="D10" s="42">
        <v>5.81</v>
      </c>
      <c r="E10" s="54">
        <f t="shared" si="0"/>
        <v>0.47837150127226447</v>
      </c>
      <c r="J10" s="56">
        <f>+C10*1.378</f>
        <v>5.41554</v>
      </c>
    </row>
    <row r="11" spans="2:13" ht="20.25" customHeight="1" x14ac:dyDescent="0.25">
      <c r="B11" s="37" t="s">
        <v>75</v>
      </c>
      <c r="C11" s="27"/>
      <c r="D11" s="34"/>
      <c r="J11" s="53"/>
    </row>
    <row r="12" spans="2:13" ht="19.5" customHeight="1" x14ac:dyDescent="0.25">
      <c r="B12" s="38" t="s">
        <v>54</v>
      </c>
      <c r="C12" s="25">
        <v>1</v>
      </c>
      <c r="D12" s="35">
        <v>1.1499999999999999</v>
      </c>
      <c r="E12" s="54">
        <f t="shared" ref="E12:E14" si="1">D12/C12-1</f>
        <v>0.14999999999999991</v>
      </c>
      <c r="J12" s="53">
        <f>+C12*1.1534</f>
        <v>1.1534</v>
      </c>
    </row>
    <row r="13" spans="2:13" ht="19.5" customHeight="1" x14ac:dyDescent="0.25">
      <c r="B13" s="38" t="s">
        <v>55</v>
      </c>
      <c r="C13" s="27">
        <v>0.06</v>
      </c>
      <c r="D13" s="35">
        <v>7.0000000000000007E-2</v>
      </c>
      <c r="E13" s="54">
        <f t="shared" si="1"/>
        <v>0.16666666666666674</v>
      </c>
      <c r="J13" s="53">
        <f>+C13*1.1534</f>
        <v>6.9204000000000002E-2</v>
      </c>
    </row>
    <row r="14" spans="2:13" ht="19.5" customHeight="1" thickBot="1" x14ac:dyDescent="0.3">
      <c r="B14" s="7" t="s">
        <v>53</v>
      </c>
      <c r="C14" s="10">
        <v>5</v>
      </c>
      <c r="D14" s="30">
        <v>5.73</v>
      </c>
      <c r="E14" s="54">
        <f t="shared" si="1"/>
        <v>0.14600000000000013</v>
      </c>
      <c r="J14" s="53">
        <f>+C14*1.1534</f>
        <v>5.7669999999999995</v>
      </c>
    </row>
    <row r="15" spans="2:13" ht="16.5" customHeight="1" x14ac:dyDescent="0.25">
      <c r="B15" s="37" t="s">
        <v>63</v>
      </c>
      <c r="C15" s="27"/>
      <c r="D15" s="34"/>
      <c r="J15" s="53"/>
    </row>
    <row r="16" spans="2:13" ht="39" thickBot="1" x14ac:dyDescent="0.3">
      <c r="B16" s="9" t="s">
        <v>56</v>
      </c>
      <c r="C16" s="10">
        <v>0.11</v>
      </c>
      <c r="D16" s="30">
        <v>0.13</v>
      </c>
      <c r="E16" s="54">
        <f>D16/C16-1</f>
        <v>0.18181818181818188</v>
      </c>
      <c r="J16" s="53">
        <f>+C16*1.1534</f>
        <v>0.12687399999999999</v>
      </c>
    </row>
    <row r="17" spans="1:10" ht="19.5" customHeight="1" thickBot="1" x14ac:dyDescent="0.3">
      <c r="B17" s="14" t="s">
        <v>16</v>
      </c>
      <c r="C17" s="15">
        <f>SUM(C7:C13,C10,C9)</f>
        <v>21.939999999999998</v>
      </c>
      <c r="D17" s="31">
        <f>SUM(D7:D13,D10,D9)</f>
        <v>25.159999999999997</v>
      </c>
      <c r="E17" s="54">
        <f>D17/C17-1</f>
        <v>0.14676390154968089</v>
      </c>
      <c r="J17" s="53"/>
    </row>
    <row r="18" spans="1:10" ht="19.5" customHeight="1" thickBot="1" x14ac:dyDescent="0.3">
      <c r="B18" s="68" t="s">
        <v>17</v>
      </c>
      <c r="C18" s="69"/>
      <c r="D18" s="70"/>
      <c r="J18" s="53"/>
    </row>
    <row r="19" spans="1:10" ht="19.5" customHeight="1" thickBot="1" x14ac:dyDescent="0.3">
      <c r="B19" s="11" t="s">
        <v>18</v>
      </c>
      <c r="C19" s="8">
        <f>300*2/365</f>
        <v>1.6438356164383561</v>
      </c>
      <c r="D19" s="28">
        <f>344*2/365</f>
        <v>1.8849315068493151</v>
      </c>
      <c r="E19" s="57">
        <f t="shared" ref="E19:E22" si="2">D19/C19-1</f>
        <v>0.14666666666666672</v>
      </c>
      <c r="J19" s="53">
        <f>+C19*1.1534</f>
        <v>1.8959999999999999</v>
      </c>
    </row>
    <row r="20" spans="1:10" ht="19.5" customHeight="1" thickBot="1" x14ac:dyDescent="0.3">
      <c r="B20" s="9" t="s">
        <v>19</v>
      </c>
      <c r="C20" s="18">
        <f>5*2/365</f>
        <v>2.7397260273972601E-2</v>
      </c>
      <c r="D20" s="50">
        <f>5*2/365</f>
        <v>2.7397260273972601E-2</v>
      </c>
      <c r="E20" s="54">
        <f t="shared" si="2"/>
        <v>0</v>
      </c>
      <c r="J20" s="56">
        <f>D20</f>
        <v>2.7397260273972601E-2</v>
      </c>
    </row>
    <row r="21" spans="1:10" ht="19.5" customHeight="1" x14ac:dyDescent="0.25">
      <c r="B21" s="49" t="s">
        <v>20</v>
      </c>
      <c r="C21" s="23">
        <v>2.5</v>
      </c>
      <c r="D21" s="29">
        <v>2.5</v>
      </c>
      <c r="E21" s="54">
        <f t="shared" si="2"/>
        <v>0</v>
      </c>
      <c r="J21" s="56">
        <f>D21</f>
        <v>2.5</v>
      </c>
    </row>
    <row r="22" spans="1:10" ht="19.5" customHeight="1" x14ac:dyDescent="0.25">
      <c r="B22" s="43" t="s">
        <v>21</v>
      </c>
      <c r="C22" s="25">
        <v>0.15</v>
      </c>
      <c r="D22" s="35">
        <v>0.17</v>
      </c>
      <c r="E22" s="54">
        <f t="shared" si="2"/>
        <v>0.13333333333333353</v>
      </c>
      <c r="J22" s="53">
        <f>+C22*1.1534</f>
        <v>0.17301</v>
      </c>
    </row>
    <row r="23" spans="1:10" ht="25.5" x14ac:dyDescent="0.25">
      <c r="B23" s="51" t="s">
        <v>79</v>
      </c>
      <c r="C23" s="26"/>
      <c r="D23" s="52">
        <v>3.82</v>
      </c>
      <c r="J23" s="56"/>
    </row>
    <row r="24" spans="1:10" ht="38.25" x14ac:dyDescent="0.25">
      <c r="B24" s="51" t="s">
        <v>81</v>
      </c>
      <c r="C24" s="26"/>
      <c r="D24" s="52">
        <v>0.38</v>
      </c>
      <c r="J24" s="56"/>
    </row>
    <row r="25" spans="1:10" ht="38.25" customHeight="1" x14ac:dyDescent="0.25">
      <c r="B25" s="51" t="s">
        <v>82</v>
      </c>
      <c r="C25" s="26"/>
      <c r="D25" s="52">
        <v>2.8</v>
      </c>
      <c r="J25" s="56"/>
    </row>
    <row r="26" spans="1:10" ht="38.25" x14ac:dyDescent="0.25">
      <c r="A26" s="44"/>
      <c r="B26" s="44" t="s">
        <v>76</v>
      </c>
      <c r="C26" s="27">
        <v>1.8</v>
      </c>
      <c r="D26" s="35">
        <v>1.37</v>
      </c>
      <c r="E26" s="54">
        <f>(D26+D27)/C26-1</f>
        <v>3.3333333333333437E-2</v>
      </c>
      <c r="J26" s="56">
        <f>D26</f>
        <v>1.37</v>
      </c>
    </row>
    <row r="27" spans="1:10" ht="26.25" thickBot="1" x14ac:dyDescent="0.3">
      <c r="B27" s="45" t="s">
        <v>47</v>
      </c>
      <c r="C27" s="46">
        <v>0.43</v>
      </c>
      <c r="D27" s="47">
        <v>0.49</v>
      </c>
      <c r="J27" s="53">
        <f>+C27*1.1534</f>
        <v>0.49596199999999996</v>
      </c>
    </row>
    <row r="28" spans="1:10" ht="19.5" customHeight="1" thickBot="1" x14ac:dyDescent="0.3">
      <c r="B28" s="102" t="s">
        <v>22</v>
      </c>
      <c r="C28" s="21">
        <v>2021</v>
      </c>
      <c r="D28" s="22">
        <v>2023</v>
      </c>
    </row>
    <row r="29" spans="1:10" ht="19.5" customHeight="1" thickBot="1" x14ac:dyDescent="0.3">
      <c r="B29" s="103"/>
      <c r="C29" s="24">
        <f>SUM(C17,C19:C27)</f>
        <v>28.491232876712324</v>
      </c>
      <c r="D29" s="32">
        <f>SUM(D17,D19:D27)</f>
        <v>38.602328767123282</v>
      </c>
      <c r="E29" s="54">
        <f>D29/C29-1</f>
        <v>0.3548844633773427</v>
      </c>
    </row>
    <row r="30" spans="1:10" ht="29.25" customHeight="1" thickBot="1" x14ac:dyDescent="0.3">
      <c r="B30" s="99" t="s">
        <v>77</v>
      </c>
      <c r="C30" s="100"/>
      <c r="D30" s="101"/>
    </row>
    <row r="31" spans="1:10" ht="29.25" customHeight="1" thickBot="1" x14ac:dyDescent="0.3">
      <c r="B31" s="96" t="s">
        <v>78</v>
      </c>
      <c r="C31" s="97"/>
      <c r="D31" s="98"/>
    </row>
    <row r="32" spans="1:10" ht="47.25" customHeight="1" thickBot="1" x14ac:dyDescent="0.3">
      <c r="B32" s="96" t="s">
        <v>80</v>
      </c>
      <c r="C32" s="97"/>
      <c r="D32" s="98"/>
    </row>
    <row r="33" spans="2:4" ht="60.75" customHeight="1" thickBot="1" x14ac:dyDescent="0.3">
      <c r="B33" s="96" t="s">
        <v>85</v>
      </c>
      <c r="C33" s="97"/>
      <c r="D33" s="98"/>
    </row>
    <row r="34" spans="2:4" ht="68.25" customHeight="1" thickBot="1" x14ac:dyDescent="0.3">
      <c r="B34" s="96" t="s">
        <v>83</v>
      </c>
      <c r="C34" s="97"/>
      <c r="D34" s="98"/>
    </row>
    <row r="35" spans="2:4" ht="19.5" customHeight="1" x14ac:dyDescent="0.25"/>
    <row r="36" spans="2:4" ht="19.5" customHeight="1" x14ac:dyDescent="0.25"/>
    <row r="37" spans="2:4" ht="19.5" customHeight="1" x14ac:dyDescent="0.25"/>
  </sheetData>
  <mergeCells count="11">
    <mergeCell ref="B28:B29"/>
    <mergeCell ref="B1:D1"/>
    <mergeCell ref="B2:D2"/>
    <mergeCell ref="B3:D3"/>
    <mergeCell ref="B4:D4"/>
    <mergeCell ref="B18:D18"/>
    <mergeCell ref="B30:D30"/>
    <mergeCell ref="B31:D31"/>
    <mergeCell ref="B32:D32"/>
    <mergeCell ref="B33:D33"/>
    <mergeCell ref="B34:D3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hotspot</vt:lpstr>
      <vt:lpstr>hub</vt:lpstr>
      <vt:lpstr>cpr</vt:lpstr>
      <vt:lpstr>centri collettivi lotti separat</vt:lpstr>
      <vt:lpstr>Centri coll lotto unico</vt:lpstr>
      <vt:lpstr>Unità abitative</vt:lpstr>
      <vt:lpstr>Unità abitative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Giugliano</dc:creator>
  <cp:lastModifiedBy>Cesare Massa</cp:lastModifiedBy>
  <dcterms:created xsi:type="dcterms:W3CDTF">2023-04-26T11:44:58Z</dcterms:created>
  <dcterms:modified xsi:type="dcterms:W3CDTF">2024-02-21T16:32:55Z</dcterms:modified>
</cp:coreProperties>
</file>